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eneral-Offices-GO-01\RATE\_NSPM Regulatory\MN Dockets\2023\23-xxxx TEP\Live\"/>
    </mc:Choice>
  </mc:AlternateContent>
  <xr:revisionPtr revIDLastSave="0" documentId="13_ncr:1_{2F2F0C90-1A58-4632-A09E-53CB32397C16}" xr6:coauthVersionLast="47" xr6:coauthVersionMax="47" xr10:uidLastSave="{00000000-0000-0000-0000-000000000000}"/>
  <bookViews>
    <workbookView xWindow="-28920" yWindow="-120" windowWidth="29040" windowHeight="15840" firstSheet="10" activeTab="11" xr2:uid="{66EF5876-A871-4FCA-9D1E-D37615FB478D}"/>
  </bookViews>
  <sheets>
    <sheet name="Retail Rate Impact" sheetId="1" state="hidden" r:id="rId1"/>
    <sheet name="Net Revenues" sheetId="2" state="hidden" r:id="rId2"/>
    <sheet name="Rate Revenues" sheetId="3" state="hidden" r:id="rId3"/>
    <sheet name="Rates" sheetId="5" state="hidden" r:id="rId4"/>
    <sheet name="EV Forecast" sheetId="6" state="hidden" r:id="rId5"/>
    <sheet name="Load Data" sheetId="7" state="hidden" r:id="rId6"/>
    <sheet name="Avoided emissions" sheetId="8" state="hidden" r:id="rId7"/>
    <sheet name="Externality values" sheetId="9" state="hidden" r:id="rId8"/>
    <sheet name="Societal benefit" sheetId="10" state="hidden" r:id="rId9"/>
    <sheet name="Participant Bens" sheetId="11" state="hidden" r:id="rId10"/>
    <sheet name="MN TEP CBA (2024)" sheetId="13" r:id="rId11"/>
    <sheet name="MN TEP CBA (2025)" sheetId="17" r:id="rId12"/>
    <sheet name="MN TEP CBA (2026)" sheetId="18" r:id="rId13"/>
    <sheet name="MN TEP CBA (2027)" sheetId="20" r:id="rId14"/>
    <sheet name="Gas &amp; Diesel" sheetId="15" state="hidden" r:id="rId15"/>
    <sheet name="Electric" sheetId="16" state="hidden" r:id="rId16"/>
    <sheet name="TEP Filing Inputs" sheetId="14" state="hidden" r:id="rId17"/>
    <sheet name="Cost to Serve" sheetId="4" state="hidden" r:id="rId18"/>
    <sheet name="Participant Assump" sheetId="12" state="hidden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j">#REF!</definedName>
    <definedName name="\k">#REF!</definedName>
    <definedName name="\l">#REF!</definedName>
    <definedName name="\m">#REF!</definedName>
    <definedName name="\n">#REF!</definedName>
    <definedName name="\o">#REF!</definedName>
    <definedName name="\p">[1]Rates!#REF!</definedName>
    <definedName name="\q">#REF!</definedName>
    <definedName name="\r">#REF!</definedName>
    <definedName name="\s">#REF!</definedName>
    <definedName name="\t">#REF!</definedName>
    <definedName name="\u">#REF!</definedName>
    <definedName name="\w">#REF!</definedName>
    <definedName name="\x">#REF!</definedName>
    <definedName name="\y">#REF!</definedName>
    <definedName name="_4_23_2002">#REF!</definedName>
    <definedName name="_4_25_2002">#REF!</definedName>
    <definedName name="_5">#REF!</definedName>
    <definedName name="_CHA1">#REF!</definedName>
    <definedName name="_CHA11">#REF!</definedName>
    <definedName name="_CHA12">#REF!</definedName>
    <definedName name="_CHA13">#REF!</definedName>
    <definedName name="_CHA14">#REF!</definedName>
    <definedName name="_CHA2">#REF!</definedName>
    <definedName name="_CHA3">#REF!</definedName>
    <definedName name="_CHA4">#REF!</definedName>
    <definedName name="_CHA5">#REF!</definedName>
    <definedName name="_CHA6">#REF!</definedName>
    <definedName name="_CHA7">#REF!</definedName>
    <definedName name="_Fill" hidden="1">'[2]Total Margin'!#REF!</definedName>
    <definedName name="_Key1" hidden="1">#REF!</definedName>
    <definedName name="_Key2" hidden="1">#REF!</definedName>
    <definedName name="_MO1">#REF!</definedName>
    <definedName name="_MO2">#REF!</definedName>
    <definedName name="_MO3">#REF!</definedName>
    <definedName name="_MO4">#REF!</definedName>
    <definedName name="_NEW1">#REF!</definedName>
    <definedName name="_NEW11">#REF!</definedName>
    <definedName name="_NEW12">#REF!</definedName>
    <definedName name="_NEW13">#REF!</definedName>
    <definedName name="_NEW14">#REF!</definedName>
    <definedName name="_NEW2">#REF!</definedName>
    <definedName name="_NEW3">#REF!</definedName>
    <definedName name="_NEW4">#REF!</definedName>
    <definedName name="_NEW5">#REF!</definedName>
    <definedName name="_NEW6">#REF!</definedName>
    <definedName name="_NEW7">#REF!</definedName>
    <definedName name="_OLD1">#REF!</definedName>
    <definedName name="_OLD11">#REF!</definedName>
    <definedName name="_OLD12">#REF!</definedName>
    <definedName name="_OLD13">#REF!</definedName>
    <definedName name="_OLD14">#REF!</definedName>
    <definedName name="_OLD2">#REF!</definedName>
    <definedName name="_OLD3">#REF!</definedName>
    <definedName name="_OLD4">#REF!</definedName>
    <definedName name="_OLD5">#REF!</definedName>
    <definedName name="_OLD6">#REF!</definedName>
    <definedName name="_OLD7">#REF!</definedName>
    <definedName name="_Order1" hidden="1">255</definedName>
    <definedName name="_Order2" hidden="1">255</definedName>
    <definedName name="_PG1">#REF!</definedName>
    <definedName name="_PG10">#REF!</definedName>
    <definedName name="_PG11">#REF!</definedName>
    <definedName name="_PG12">#REF!</definedName>
    <definedName name="_PG13">#REF!</definedName>
    <definedName name="_PG14">#REF!</definedName>
    <definedName name="_PG15">#REF!</definedName>
    <definedName name="_PG16">#REF!</definedName>
    <definedName name="_PG17">#REF!</definedName>
    <definedName name="_PG2">#REF!</definedName>
    <definedName name="_PG3">#REF!</definedName>
    <definedName name="_PG4">#REF!</definedName>
    <definedName name="_PG5">#REF!</definedName>
    <definedName name="_PG6">#REF!</definedName>
    <definedName name="_POR80">#REF!</definedName>
    <definedName name="_SKIP_">#REF!</definedName>
    <definedName name="_Sort" hidden="1">#REF!</definedName>
    <definedName name="anr_total">[1]Indices!#REF!</definedName>
    <definedName name="average_increase_co2_2020">'[3]Various input parameters'!#REF!</definedName>
    <definedName name="average_increase_fleet_mass">'[3]Various input parameters'!#REF!</definedName>
    <definedName name="BASE">#REF!</definedName>
    <definedName name="bb_MTk0NDE5QTI2NTVBNDM0Mz" hidden="1">#REF!</definedName>
    <definedName name="BEV_FE_mpg">[4]Various!$E$10</definedName>
    <definedName name="BLPH1" hidden="1">'[5]FC switches'!$B$6</definedName>
    <definedName name="BLPH10" hidden="1">'[5]FC switches'!$AU$6</definedName>
    <definedName name="BLPH11" hidden="1">'[5]FC switches'!$AZ$6</definedName>
    <definedName name="BLPH12" hidden="1">'[5]FC switches'!$BE$6</definedName>
    <definedName name="BLPH13" hidden="1">'[5]FC switches'!$BJ$6</definedName>
    <definedName name="BLPH14" hidden="1">'[5]FC switches'!$BM$6</definedName>
    <definedName name="BLPH2" hidden="1">'[5]FC switches'!$G$6</definedName>
    <definedName name="BLPH3" hidden="1">'[5]FC switches'!$L$6</definedName>
    <definedName name="BLPH4" hidden="1">'[5]FC switches'!$Q$6</definedName>
    <definedName name="BLPH5" hidden="1">'[5]FC switches'!$V$6</definedName>
    <definedName name="BLPH6" hidden="1">'[5]FC switches'!$AA$6</definedName>
    <definedName name="BLPH7" hidden="1">'[5]FC switches'!$AF$6</definedName>
    <definedName name="BLPH8" hidden="1">'[5]FC switches'!$AK$6</definedName>
    <definedName name="BLPH9" hidden="1">'[5]FC switches'!$AP$6</definedName>
    <definedName name="CarbonConv">[6]assumptions!$B$20</definedName>
    <definedName name="cashout_rate">#REF!</definedName>
    <definedName name="CashoutWBKUP">#REF!</definedName>
    <definedName name="CBS_Table">'[7]Customer Profile'!#REF!</definedName>
    <definedName name="cf_corr_mat">'[8]Data Input'!$C$29:$P$42</definedName>
    <definedName name="cf_vol_crv">'[8]Data Input'!$B$6:$C$19</definedName>
    <definedName name="CHEK1">#REF!</definedName>
    <definedName name="CHEK2">#REF!</definedName>
    <definedName name="COMM">#REF!</definedName>
    <definedName name="COMMOD">#REF!</definedName>
    <definedName name="correlation_matrix">'[8]Data Input'!$B$28:$T$46</definedName>
    <definedName name="COUNT">#REF!</definedName>
    <definedName name="COUNT_">#REF!</definedName>
    <definedName name="CTFEBS">#REF!</definedName>
    <definedName name="DATE">#REF!</definedName>
    <definedName name="DEMAND">#REF!</definedName>
    <definedName name="diesel_share_decline_to_2025">'[3]Various input parameters'!$G$12</definedName>
    <definedName name="EMAIL">#REF!</definedName>
    <definedName name="email2">#REF!</definedName>
    <definedName name="email3">#REF!</definedName>
    <definedName name="EnergyDel">[6]assumptions!$B$73</definedName>
    <definedName name="FAX">#REF!</definedName>
    <definedName name="FILE">#REF!</definedName>
    <definedName name="FINAL">#REF!</definedName>
    <definedName name="FinanceComaftertax">[6]assumptions!$B$85</definedName>
    <definedName name="FinanceCompretax">[6]assumptions!$B$86</definedName>
    <definedName name="FinanceResaftertax">[6]assumptions!$B$82</definedName>
    <definedName name="FinanceRespretax">[6]assumptions!$B$83</definedName>
    <definedName name="FORM">#REF!</definedName>
    <definedName name="GRAFPT">#REF!</definedName>
    <definedName name="GridConnect">[6]assumptions!$B$76</definedName>
    <definedName name="HOOK">#REF!</definedName>
    <definedName name="Incent">[6]assumptions!$B$8</definedName>
    <definedName name="INPUT">#REF!</definedName>
    <definedName name="INPUTMN">#REF!</definedName>
    <definedName name="INPUTND">#REF!</definedName>
    <definedName name="LAND">#REF!</definedName>
    <definedName name="LAST1">#REF!</definedName>
    <definedName name="LAST2">#REF!</definedName>
    <definedName name="LAST3">#REF!</definedName>
    <definedName name="LCON">#REF!</definedName>
    <definedName name="LINES">#REF!</definedName>
    <definedName name="LINES_">#REF!</definedName>
    <definedName name="LOOP">#REF!</definedName>
    <definedName name="LOOP_">#REF!</definedName>
    <definedName name="MAC">#REF!</definedName>
    <definedName name="Maint">[6]assumptions!$B$77</definedName>
    <definedName name="mass_reduction_pc_per_year">[4]Various!#REF!</definedName>
    <definedName name="MNNEW">#REF!</definedName>
    <definedName name="MNOLD">#REF!</definedName>
    <definedName name="MNPRIADJ">#REF!</definedName>
    <definedName name="MNTOTADJ">#REF!</definedName>
    <definedName name="MNTRU1">#REF!</definedName>
    <definedName name="MNTRU2">#REF!</definedName>
    <definedName name="MO">#REF!</definedName>
    <definedName name="NDNEW">#REF!</definedName>
    <definedName name="NDOLD">#REF!</definedName>
    <definedName name="NDPRIADJ">#REF!</definedName>
    <definedName name="NDTOTADJ">#REF!</definedName>
    <definedName name="nedc_to_wltp_linear_const">'[3]Various input parameters'!$L$12</definedName>
    <definedName name="nedc_to_wltp_linear_slope">'[3]Various input parameters'!$L$13</definedName>
    <definedName name="Net_Undertake_Credit">#REF!</definedName>
    <definedName name="NEW">#REF!</definedName>
    <definedName name="NEWCHA1">#REF!</definedName>
    <definedName name="NEWCHA2">#REF!</definedName>
    <definedName name="NEWCHA3">#REF!</definedName>
    <definedName name="newsheet">#REF!</definedName>
    <definedName name="NGPL_NO_NOTICE_W">[1]Indices!#REF!</definedName>
    <definedName name="ngpl_total">[1]Indices!#REF!</definedName>
    <definedName name="NUM">#REF!</definedName>
    <definedName name="NYMEX">'[5]Amortizing Swap'!$A$1+'[5]Amortizing Swap'!$AZ$45</definedName>
    <definedName name="OLD">#REF!</definedName>
    <definedName name="OLDCHA1">#REF!</definedName>
    <definedName name="OLDCHA2">#REF!</definedName>
    <definedName name="OLDCHA3">#REF!</definedName>
    <definedName name="OLDCHA4">#REF!</definedName>
    <definedName name="OLDCHA5">#REF!</definedName>
    <definedName name="OLDCHA6">#REF!</definedName>
    <definedName name="Outputs">'[2]Model Outputs'!#REF!</definedName>
    <definedName name="overtake_rate_table">#REF!</definedName>
    <definedName name="PAGE1">[1]Rates!#REF!</definedName>
    <definedName name="PAGE2">[1]Rates!#REF!</definedName>
    <definedName name="PCON">#REF!</definedName>
    <definedName name="PEAKMONTH">[9]Summary!$K$90</definedName>
    <definedName name="PG0">#REF!</definedName>
    <definedName name="PHEV_FE_mpg">[4]Various!$E$11</definedName>
    <definedName name="PORT">#REF!</definedName>
    <definedName name="PriceInf">[6]assumptions!$B$12</definedName>
    <definedName name="PRINT">#REF!</definedName>
    <definedName name="Print_Area_MI">#REF!</definedName>
    <definedName name="_xlnm.Print_Titles">#REF!</definedName>
    <definedName name="PV_Mapped_Cash_Flows">'[8]Data Input'!$D$5:$D$23</definedName>
    <definedName name="RATE">#REF!</definedName>
    <definedName name="raw_cf">OFFSET('[8]Raw CF input'!$A$7,0,0,COUNT('[8]Raw CF input'!$A$7:$A$247),2)</definedName>
    <definedName name="rng_MultiTicker_Data">[4]Sales!#REF!</definedName>
    <definedName name="rng_MultiTicker_End">[4]Sales!#REF!</definedName>
    <definedName name="rng_MultiTicker_Fields">[4]Sales!#REF!</definedName>
    <definedName name="rng_MultiTicker_Start">[4]Sales!#REF!</definedName>
    <definedName name="rng_MultiTicker_X">[4]Sales!#REF!</definedName>
    <definedName name="rng_MultiTicker_Y">[4]Sales!#REF!</definedName>
    <definedName name="rng_ResultRange">[4]Sales!#REF!</definedName>
    <definedName name="rng_StartDateRange">[4]Sales!#REF!</definedName>
    <definedName name="rng_TickerRange">[4]Sales!#REF!</definedName>
    <definedName name="rng_VBA_Formats">OFFSET([10]VBA!$K$19, 0, 0, [10]VBA!$C$17)</definedName>
    <definedName name="rng_VBA_LineStyles">OFFSET([10]VBA!$L$19, 0, 0, [10]VBA!$C$17)</definedName>
    <definedName name="rng_VBA_Names">OFFSET([10]VBA!$B$19:$J$19, 0, 0, [10]VBA!$C$17)</definedName>
    <definedName name="s">'[11]Tax Rates &amp; Total Shares'!$B$11</definedName>
    <definedName name="SAVED">#REF!</definedName>
    <definedName name="SAVII">#REF!</definedName>
    <definedName name="Sch_C1">#REF!</definedName>
    <definedName name="Sch_E">#REF!</definedName>
    <definedName name="Sch_E1">#REF!</definedName>
    <definedName name="Sch_F11">#REF!</definedName>
    <definedName name="Sch_F12">#REF!</definedName>
    <definedName name="Sch_F13">#REF!</definedName>
    <definedName name="sheet5303">'[12]Sheet 53'!$A$147+'[12]Sheet 53'!$A$147:$I$221</definedName>
    <definedName name="Sheet82">#REF!</definedName>
    <definedName name="Sheet83">#REF!</definedName>
    <definedName name="Sheet84">#REF!</definedName>
    <definedName name="si_to_sf">[13]Data!$S$1</definedName>
    <definedName name="SKIP">#REF!</definedName>
    <definedName name="STATES">#REF!</definedName>
    <definedName name="summary">#REF!</definedName>
    <definedName name="taxcreditcom">[6]assumptions!$B$10</definedName>
    <definedName name="taxcreditres">[6]assumptions!$B$9</definedName>
    <definedName name="taxratecom">[6]assumptions!$B$80</definedName>
    <definedName name="taxrateres">[6]assumptions!$B$79</definedName>
    <definedName name="tbl07VAP">#REF!</definedName>
    <definedName name="THIS1">#REF!</definedName>
    <definedName name="THIS2">#REF!</definedName>
    <definedName name="THIS3">#REF!</definedName>
    <definedName name="TIME">#REF!</definedName>
    <definedName name="total_shares">'[14]Tax Rates &amp; Total Shares'!$B$11</definedName>
    <definedName name="TRY">#REF!</definedName>
    <definedName name="Uncollectible">[2]Uncollectibles!#REF!</definedName>
    <definedName name="undertake_rate_table">#REF!</definedName>
    <definedName name="UNFMT">#REF!</definedName>
    <definedName name="volatility_curve">'[8]Data Input'!$AA$5:$AB$23</definedName>
    <definedName name="wrn.PrintMNPGA." hidden="1">{#N/A,#N/A,FALSE,"Schedule B1-MN";#N/A,#N/A,FALSE,"ScheduleB2-MN";#N/A,#N/A,FALSE,"ScheduleB3-MN";#N/A,#N/A,FALSE,"ScheduleB4-MN"}</definedName>
    <definedName name="wrn.PrintNDPGA." hidden="1">{#N/A,#N/A,FALSE,"ScheduleB1-ND";#N/A,#N/A,FALSE,"ScheduleB2-ND";#N/A,#N/A,FALSE,"ScheduleB3-ND";#N/A,#N/A,FALSE,"ScheduleB4-ND";#N/A,#N/A,FALSE,"ScheduleB5-ND"}</definedName>
    <definedName name="wrn.PrintPGA." hidden="1">{"MNScheduleA",#N/A,FALSE,"dec95pga";"MNScheduleBp1",#N/A,FALSE,"dec95pga";"MNScheduleBp2",#N/A,FALSE,"dec95pga";"MNScheduleBp3",#N/A,FALSE,"dec95pga";"MNScheduleBp4",#N/A,FALSE,"dec95pga";"NDScheduleA",#N/A,FALSE,"dec95pga";"NDScheduleBp1",#N/A,FALSE,"dec95pga";"NDScheduleBp2",#N/A,FALSE,"dec95pga";"NDScheduleBp3",#N/A,FALSE,"dec95pga";"NDScheduleBp4",#N/A,FALSE,"dec95pga";"NDScheduleBp5",#N/A,FALSE,"dec95pga"}</definedName>
    <definedName name="Year">'[15]Date Value'!$B$8</definedName>
    <definedName name="YEAR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20" l="1"/>
  <c r="D14" i="20"/>
  <c r="E14" i="20"/>
  <c r="F14" i="20"/>
  <c r="C15" i="20"/>
  <c r="D15" i="20"/>
  <c r="E15" i="20"/>
  <c r="F15" i="20"/>
  <c r="C16" i="20"/>
  <c r="D16" i="20"/>
  <c r="E16" i="20"/>
  <c r="F16" i="20"/>
  <c r="C18" i="20"/>
  <c r="D19" i="20"/>
  <c r="E19" i="20"/>
  <c r="F19" i="20"/>
  <c r="G19" i="20"/>
  <c r="B20" i="20"/>
  <c r="B19" i="20"/>
  <c r="B14" i="20"/>
  <c r="B15" i="20"/>
  <c r="B16" i="20"/>
  <c r="B17" i="20"/>
  <c r="B18" i="20"/>
  <c r="B13" i="20"/>
  <c r="C14" i="18"/>
  <c r="D14" i="18"/>
  <c r="E14" i="18"/>
  <c r="F14" i="18"/>
  <c r="C15" i="18"/>
  <c r="D15" i="18"/>
  <c r="E15" i="18"/>
  <c r="F15" i="18"/>
  <c r="C16" i="18"/>
  <c r="D16" i="18"/>
  <c r="E16" i="18"/>
  <c r="F16" i="18"/>
  <c r="C18" i="18"/>
  <c r="D19" i="18"/>
  <c r="E19" i="18"/>
  <c r="F19" i="18"/>
  <c r="G19" i="18"/>
  <c r="B20" i="18"/>
  <c r="B19" i="18"/>
  <c r="B14" i="18"/>
  <c r="B15" i="18"/>
  <c r="B16" i="18"/>
  <c r="B17" i="18"/>
  <c r="B18" i="18"/>
  <c r="B13" i="18"/>
  <c r="B14" i="17"/>
  <c r="C14" i="17"/>
  <c r="D14" i="17"/>
  <c r="E14" i="17"/>
  <c r="F14" i="17"/>
  <c r="B15" i="17"/>
  <c r="C15" i="17"/>
  <c r="D15" i="17"/>
  <c r="E15" i="17"/>
  <c r="F15" i="17"/>
  <c r="B16" i="17"/>
  <c r="C16" i="17"/>
  <c r="D16" i="17"/>
  <c r="E16" i="17"/>
  <c r="F16" i="17"/>
  <c r="B17" i="17"/>
  <c r="B18" i="17"/>
  <c r="C18" i="17"/>
  <c r="B19" i="17"/>
  <c r="D19" i="17"/>
  <c r="E19" i="17"/>
  <c r="F19" i="17"/>
  <c r="G19" i="17"/>
  <c r="B20" i="17"/>
  <c r="B13" i="17"/>
  <c r="C19" i="13"/>
  <c r="C19" i="20" s="1"/>
  <c r="G16" i="13"/>
  <c r="G16" i="20" s="1"/>
  <c r="Z51" i="13"/>
  <c r="Z52" i="13"/>
  <c r="Z53" i="13"/>
  <c r="Z54" i="13"/>
  <c r="Z55" i="13"/>
  <c r="Z56" i="13"/>
  <c r="Z57" i="13"/>
  <c r="Z58" i="13"/>
  <c r="Z59" i="13"/>
  <c r="Z60" i="13"/>
  <c r="Z61" i="13"/>
  <c r="Z62" i="13"/>
  <c r="Z63" i="13"/>
  <c r="Z64" i="13"/>
  <c r="Z65" i="13"/>
  <c r="Z66" i="13"/>
  <c r="Z67" i="13"/>
  <c r="Z68" i="13"/>
  <c r="Z50" i="13"/>
  <c r="Y51" i="13"/>
  <c r="Y52" i="13"/>
  <c r="Y53" i="13"/>
  <c r="Y54" i="13"/>
  <c r="Y55" i="13"/>
  <c r="Y56" i="13"/>
  <c r="Y57" i="13"/>
  <c r="Y58" i="13"/>
  <c r="Y59" i="13"/>
  <c r="Y60" i="13"/>
  <c r="Y61" i="13"/>
  <c r="Y62" i="13"/>
  <c r="Y63" i="13"/>
  <c r="Y64" i="13"/>
  <c r="Y65" i="13"/>
  <c r="Y66" i="13"/>
  <c r="Y67" i="13"/>
  <c r="Y68" i="13"/>
  <c r="Y50" i="13"/>
  <c r="B27" i="12"/>
  <c r="F9" i="13"/>
  <c r="E9" i="13"/>
  <c r="D9" i="13"/>
  <c r="C9" i="13"/>
  <c r="F13" i="13"/>
  <c r="F13" i="17" s="1"/>
  <c r="E13" i="13"/>
  <c r="E13" i="20" s="1"/>
  <c r="D13" i="13"/>
  <c r="D13" i="20" s="1"/>
  <c r="C13" i="13"/>
  <c r="C13" i="18" s="1"/>
  <c r="C20" i="13" l="1"/>
  <c r="C20" i="18" s="1"/>
  <c r="C17" i="13"/>
  <c r="C17" i="20" s="1"/>
  <c r="E13" i="17"/>
  <c r="C13" i="20"/>
  <c r="D13" i="17"/>
  <c r="C19" i="17"/>
  <c r="C17" i="17"/>
  <c r="C20" i="20"/>
  <c r="F17" i="13"/>
  <c r="C13" i="17"/>
  <c r="C17" i="18"/>
  <c r="E17" i="13"/>
  <c r="C20" i="17"/>
  <c r="G16" i="17"/>
  <c r="G16" i="18"/>
  <c r="F13" i="18"/>
  <c r="D17" i="13"/>
  <c r="C19" i="18"/>
  <c r="E13" i="18"/>
  <c r="D13" i="18"/>
  <c r="F13" i="20"/>
  <c r="E75" i="14"/>
  <c r="E76" i="14"/>
  <c r="E77" i="14"/>
  <c r="E74" i="14"/>
  <c r="F3" i="20"/>
  <c r="H3" i="20"/>
  <c r="E4" i="20"/>
  <c r="H4" i="20"/>
  <c r="B4" i="20"/>
  <c r="B3" i="20"/>
  <c r="F3" i="18"/>
  <c r="H3" i="18"/>
  <c r="E4" i="18"/>
  <c r="H4" i="18"/>
  <c r="B4" i="18"/>
  <c r="B3" i="18"/>
  <c r="F3" i="17"/>
  <c r="H3" i="17"/>
  <c r="E4" i="17"/>
  <c r="H4" i="17"/>
  <c r="B4" i="17"/>
  <c r="B3" i="17"/>
  <c r="B17" i="12"/>
  <c r="B8" i="12"/>
  <c r="D17" i="17" l="1"/>
  <c r="D17" i="20"/>
  <c r="D17" i="18"/>
  <c r="F17" i="18"/>
  <c r="F17" i="17"/>
  <c r="F17" i="20"/>
  <c r="E17" i="17"/>
  <c r="E17" i="18"/>
  <c r="E17" i="20"/>
  <c r="C89" i="14"/>
  <c r="H95" i="14" s="1"/>
  <c r="D89" i="14"/>
  <c r="K96" i="14" s="1"/>
  <c r="E89" i="14"/>
  <c r="N97" i="14" s="1"/>
  <c r="C90" i="14"/>
  <c r="D90" i="14"/>
  <c r="E90" i="14"/>
  <c r="C91" i="14"/>
  <c r="D91" i="14"/>
  <c r="E91" i="14"/>
  <c r="B90" i="14"/>
  <c r="B91" i="14"/>
  <c r="B89" i="14"/>
  <c r="M94" i="14" s="1"/>
  <c r="C10" i="13"/>
  <c r="C10" i="17" s="1"/>
  <c r="D10" i="13"/>
  <c r="D10" i="18" s="1"/>
  <c r="E10" i="13"/>
  <c r="E10" i="18" s="1"/>
  <c r="AK40" i="18" s="1"/>
  <c r="F10" i="13"/>
  <c r="F10" i="17" s="1"/>
  <c r="AQ30" i="20"/>
  <c r="AK45" i="20"/>
  <c r="AL45" i="20" s="1"/>
  <c r="AM45" i="20" s="1"/>
  <c r="AN45" i="20" s="1"/>
  <c r="AK44" i="20"/>
  <c r="AL44" i="20" s="1"/>
  <c r="AM44" i="20" s="1"/>
  <c r="AN44" i="20" s="1"/>
  <c r="AL43" i="20"/>
  <c r="AM43" i="20" s="1"/>
  <c r="AN43" i="20" s="1"/>
  <c r="AK43" i="20"/>
  <c r="AK42" i="20"/>
  <c r="AL42" i="20" s="1"/>
  <c r="AM42" i="20" s="1"/>
  <c r="AN42" i="20" s="1"/>
  <c r="AL41" i="20"/>
  <c r="AM41" i="20" s="1"/>
  <c r="AN41" i="20" s="1"/>
  <c r="AK41" i="20"/>
  <c r="AL30" i="20"/>
  <c r="AK30" i="20"/>
  <c r="AQ20" i="20"/>
  <c r="AQ30" i="13"/>
  <c r="AQ30" i="17"/>
  <c r="AQ30" i="18"/>
  <c r="AL45" i="18"/>
  <c r="AM45" i="18" s="1"/>
  <c r="AN45" i="18" s="1"/>
  <c r="AK45" i="18"/>
  <c r="AK44" i="18"/>
  <c r="AL44" i="18" s="1"/>
  <c r="AM44" i="18" s="1"/>
  <c r="AN44" i="18" s="1"/>
  <c r="AK43" i="18"/>
  <c r="AL43" i="18" s="1"/>
  <c r="AM43" i="18" s="1"/>
  <c r="AN43" i="18" s="1"/>
  <c r="AK42" i="18"/>
  <c r="AL42" i="18" s="1"/>
  <c r="AM42" i="18" s="1"/>
  <c r="AN42" i="18" s="1"/>
  <c r="AK41" i="18"/>
  <c r="AL41" i="18" s="1"/>
  <c r="AM41" i="18" s="1"/>
  <c r="AN41" i="18" s="1"/>
  <c r="AL30" i="18"/>
  <c r="AK30" i="18"/>
  <c r="AQ20" i="18"/>
  <c r="AK45" i="17"/>
  <c r="AL45" i="17" s="1"/>
  <c r="AM45" i="17" s="1"/>
  <c r="AN45" i="17" s="1"/>
  <c r="AK44" i="17"/>
  <c r="AL44" i="17" s="1"/>
  <c r="AM44" i="17" s="1"/>
  <c r="AN44" i="17" s="1"/>
  <c r="AL43" i="17"/>
  <c r="AM43" i="17" s="1"/>
  <c r="AN43" i="17" s="1"/>
  <c r="AK43" i="17"/>
  <c r="AL42" i="17"/>
  <c r="AM42" i="17" s="1"/>
  <c r="AN42" i="17" s="1"/>
  <c r="AK42" i="17"/>
  <c r="AL41" i="17"/>
  <c r="AM41" i="17" s="1"/>
  <c r="AN41" i="17" s="1"/>
  <c r="AK41" i="17"/>
  <c r="AL30" i="17"/>
  <c r="AK30" i="17"/>
  <c r="AQ20" i="17"/>
  <c r="I4" i="13"/>
  <c r="G15" i="13"/>
  <c r="I3" i="13"/>
  <c r="G4" i="13"/>
  <c r="F4" i="13"/>
  <c r="G14" i="13"/>
  <c r="G15" i="20" l="1"/>
  <c r="G15" i="17"/>
  <c r="G15" i="18"/>
  <c r="I4" i="20"/>
  <c r="I4" i="17"/>
  <c r="I4" i="18"/>
  <c r="G14" i="20"/>
  <c r="G14" i="17"/>
  <c r="G14" i="18"/>
  <c r="AQ28" i="13"/>
  <c r="F4" i="20"/>
  <c r="AQ28" i="20" s="1"/>
  <c r="F4" i="18"/>
  <c r="AQ28" i="18" s="1"/>
  <c r="F4" i="17"/>
  <c r="AQ28" i="17" s="1"/>
  <c r="I3" i="18"/>
  <c r="AJ35" i="18" s="1"/>
  <c r="AM35" i="18" s="1"/>
  <c r="I3" i="20"/>
  <c r="AJ35" i="20" s="1"/>
  <c r="AM35" i="20" s="1"/>
  <c r="I3" i="17"/>
  <c r="AJ35" i="17" s="1"/>
  <c r="AM35" i="17" s="1"/>
  <c r="G4" i="20"/>
  <c r="G4" i="18"/>
  <c r="G4" i="17"/>
  <c r="AK46" i="18"/>
  <c r="AJ34" i="17"/>
  <c r="AM34" i="17" s="1"/>
  <c r="G95" i="14"/>
  <c r="G96" i="14"/>
  <c r="E10" i="17"/>
  <c r="G10" i="17" s="1"/>
  <c r="D10" i="17"/>
  <c r="AK40" i="17" s="1"/>
  <c r="P96" i="14"/>
  <c r="F10" i="20"/>
  <c r="AK40" i="20" s="1"/>
  <c r="J96" i="14"/>
  <c r="E10" i="20"/>
  <c r="I96" i="14"/>
  <c r="O95" i="14"/>
  <c r="H96" i="14"/>
  <c r="N95" i="14"/>
  <c r="M97" i="14"/>
  <c r="L94" i="14"/>
  <c r="M95" i="14"/>
  <c r="L97" i="14"/>
  <c r="I94" i="14"/>
  <c r="L95" i="14"/>
  <c r="O96" i="14"/>
  <c r="H97" i="14"/>
  <c r="J97" i="14"/>
  <c r="C10" i="18"/>
  <c r="G10" i="18" s="1"/>
  <c r="D10" i="20"/>
  <c r="K94" i="14"/>
  <c r="H94" i="14"/>
  <c r="K95" i="14"/>
  <c r="N96" i="14"/>
  <c r="Q97" i="14"/>
  <c r="I97" i="14"/>
  <c r="F10" i="18"/>
  <c r="E94" i="14"/>
  <c r="G94" i="14"/>
  <c r="J95" i="14"/>
  <c r="M96" i="14"/>
  <c r="P97" i="14"/>
  <c r="C10" i="20"/>
  <c r="K97" i="14"/>
  <c r="N94" i="14"/>
  <c r="F94" i="14"/>
  <c r="I95" i="14"/>
  <c r="L96" i="14"/>
  <c r="O97" i="14"/>
  <c r="J94" i="14"/>
  <c r="F95" i="14"/>
  <c r="AJ34" i="20"/>
  <c r="AM34" i="20" s="1"/>
  <c r="AJ34" i="18"/>
  <c r="AM34" i="18" s="1"/>
  <c r="AQ29" i="20"/>
  <c r="AL40" i="17"/>
  <c r="AM40" i="17" s="1"/>
  <c r="AN40" i="17" s="1"/>
  <c r="AN46" i="17" s="1"/>
  <c r="AK46" i="17"/>
  <c r="AQ29" i="17"/>
  <c r="AQ29" i="18"/>
  <c r="AL40" i="18"/>
  <c r="D97" i="14" l="1"/>
  <c r="F9" i="20" s="1"/>
  <c r="AK9" i="20" s="1"/>
  <c r="AL9" i="20" s="1"/>
  <c r="AM9" i="20" s="1"/>
  <c r="AN9" i="20" s="1"/>
  <c r="D95" i="14"/>
  <c r="D9" i="20" s="1"/>
  <c r="G10" i="20"/>
  <c r="D96" i="14"/>
  <c r="D94" i="14"/>
  <c r="AM46" i="17"/>
  <c r="AL46" i="17"/>
  <c r="AK46" i="20"/>
  <c r="AL40" i="20"/>
  <c r="AM40" i="18"/>
  <c r="AL46" i="18"/>
  <c r="F11" i="13" l="1"/>
  <c r="F11" i="17" s="1"/>
  <c r="D9" i="17"/>
  <c r="AK9" i="17" s="1"/>
  <c r="AL9" i="17" s="1"/>
  <c r="AM9" i="17" s="1"/>
  <c r="AN9" i="17" s="1"/>
  <c r="F9" i="17"/>
  <c r="F9" i="18"/>
  <c r="D11" i="13"/>
  <c r="D11" i="20" s="1"/>
  <c r="D9" i="18"/>
  <c r="E9" i="20"/>
  <c r="E9" i="18"/>
  <c r="AK9" i="18" s="1"/>
  <c r="AL9" i="18" s="1"/>
  <c r="AM9" i="18" s="1"/>
  <c r="AN9" i="18" s="1"/>
  <c r="E9" i="17"/>
  <c r="E11" i="13"/>
  <c r="C9" i="20"/>
  <c r="C9" i="17"/>
  <c r="C9" i="18"/>
  <c r="C11" i="13"/>
  <c r="AM40" i="20"/>
  <c r="AL46" i="20"/>
  <c r="AN40" i="18"/>
  <c r="AN46" i="18" s="1"/>
  <c r="AM46" i="18"/>
  <c r="G9" i="20" l="1"/>
  <c r="F11" i="18"/>
  <c r="F11" i="20"/>
  <c r="D11" i="18"/>
  <c r="D11" i="17"/>
  <c r="G9" i="18"/>
  <c r="G9" i="17"/>
  <c r="C11" i="17"/>
  <c r="C11" i="18"/>
  <c r="C11" i="20"/>
  <c r="E11" i="20"/>
  <c r="E11" i="18"/>
  <c r="E11" i="17"/>
  <c r="AN40" i="20"/>
  <c r="AN46" i="20" s="1"/>
  <c r="AM46" i="20"/>
  <c r="G11" i="20" l="1"/>
  <c r="G11" i="18"/>
  <c r="G11" i="17"/>
  <c r="B16" i="12"/>
  <c r="AK44" i="13"/>
  <c r="C4" i="13" l="1"/>
  <c r="G3" i="13"/>
  <c r="B6" i="12"/>
  <c r="G3" i="18" l="1"/>
  <c r="AJ36" i="18" s="1"/>
  <c r="AM36" i="18" s="1"/>
  <c r="AM37" i="18" s="1"/>
  <c r="G3" i="20"/>
  <c r="AJ36" i="20" s="1"/>
  <c r="AM36" i="20" s="1"/>
  <c r="AM37" i="20" s="1"/>
  <c r="G3" i="17"/>
  <c r="AJ36" i="17" s="1"/>
  <c r="AM36" i="17" s="1"/>
  <c r="AM37" i="17" s="1"/>
  <c r="C4" i="20"/>
  <c r="C4" i="18"/>
  <c r="C4" i="17"/>
  <c r="D4" i="13"/>
  <c r="AJ35" i="13"/>
  <c r="AJ36" i="13"/>
  <c r="B7" i="12"/>
  <c r="C3" i="13"/>
  <c r="AQ25" i="13" s="1"/>
  <c r="AQ26" i="13" s="1"/>
  <c r="G13" i="13"/>
  <c r="AQ29" i="13"/>
  <c r="B12" i="12"/>
  <c r="AK9" i="13"/>
  <c r="U72" i="4"/>
  <c r="AK45" i="13"/>
  <c r="AL45" i="13" s="1"/>
  <c r="AM45" i="13" s="1"/>
  <c r="AN45" i="13" s="1"/>
  <c r="AK43" i="13"/>
  <c r="AL43" i="13" s="1"/>
  <c r="AM43" i="13" s="1"/>
  <c r="AN43" i="13" s="1"/>
  <c r="AK42" i="13"/>
  <c r="AL42" i="13" s="1"/>
  <c r="AM42" i="13" s="1"/>
  <c r="AN42" i="13" s="1"/>
  <c r="AK41" i="13"/>
  <c r="AL41" i="13" s="1"/>
  <c r="AM41" i="13" s="1"/>
  <c r="AN41" i="13" s="1"/>
  <c r="E64" i="4"/>
  <c r="E72" i="4" s="1"/>
  <c r="AM22" i="13" l="1" a="1"/>
  <c r="AM22" i="13" s="1"/>
  <c r="AL32" i="13" a="1"/>
  <c r="AL32" i="13" s="1"/>
  <c r="AJ32" i="13" a="1"/>
  <c r="AJ32" i="13" s="1"/>
  <c r="G13" i="17"/>
  <c r="G13" i="20"/>
  <c r="G13" i="18"/>
  <c r="G17" i="13"/>
  <c r="D3" i="13"/>
  <c r="C3" i="18"/>
  <c r="C3" i="17"/>
  <c r="C3" i="20"/>
  <c r="AQ25" i="20" s="1"/>
  <c r="AQ26" i="20" s="1"/>
  <c r="D4" i="17"/>
  <c r="D4" i="18"/>
  <c r="D4" i="20"/>
  <c r="AQ25" i="17"/>
  <c r="AQ26" i="17" s="1"/>
  <c r="AQ25" i="18"/>
  <c r="AQ26" i="18" s="1"/>
  <c r="G11" i="13"/>
  <c r="G10" i="13"/>
  <c r="AK40" i="13"/>
  <c r="AL40" i="13" s="1"/>
  <c r="AM40" i="13" s="1"/>
  <c r="AN40" i="13" s="1"/>
  <c r="G9" i="13"/>
  <c r="AL9" i="13"/>
  <c r="E3" i="13"/>
  <c r="AQ20" i="13"/>
  <c r="AL30" i="13"/>
  <c r="AK30" i="13"/>
  <c r="N12" i="6"/>
  <c r="D16" i="11"/>
  <c r="D15" i="11"/>
  <c r="D14" i="11"/>
  <c r="D9" i="11"/>
  <c r="D8" i="11"/>
  <c r="D6" i="11"/>
  <c r="D5" i="11"/>
  <c r="D4" i="11"/>
  <c r="AJ32" i="20" l="1" a="1"/>
  <c r="AJ32" i="20" s="1"/>
  <c r="AL32" i="20" a="1"/>
  <c r="AL32" i="20" s="1"/>
  <c r="AL37" i="20" s="1"/>
  <c r="AJ32" i="17" a="1"/>
  <c r="AJ32" i="17" s="1"/>
  <c r="AL32" i="17" a="1"/>
  <c r="AL32" i="17" s="1"/>
  <c r="AL37" i="17" s="1"/>
  <c r="G17" i="18"/>
  <c r="G17" i="17"/>
  <c r="G17" i="20"/>
  <c r="AL32" i="18" a="1"/>
  <c r="AL32" i="18" s="1"/>
  <c r="AL37" i="18" s="1"/>
  <c r="AJ32" i="18" a="1"/>
  <c r="AJ32" i="18" s="1"/>
  <c r="D3" i="17"/>
  <c r="AQ24" i="17" s="1"/>
  <c r="AM11" i="17" s="1" a="1"/>
  <c r="AM11" i="17" s="1"/>
  <c r="AN11" i="17" s="1"/>
  <c r="D3" i="18"/>
  <c r="AQ24" i="18" s="1"/>
  <c r="AK10" i="18" s="1" a="1"/>
  <c r="AK10" i="18" s="1"/>
  <c r="D3" i="20"/>
  <c r="AQ24" i="20" s="1"/>
  <c r="AM11" i="20" s="1" a="1"/>
  <c r="AM11" i="20" s="1"/>
  <c r="AN11" i="20" s="1"/>
  <c r="AQ24" i="13"/>
  <c r="AK10" i="13" s="1" a="1"/>
  <c r="AK10" i="13" s="1"/>
  <c r="E3" i="20"/>
  <c r="AQ27" i="20" s="1"/>
  <c r="E3" i="18"/>
  <c r="AQ27" i="18" s="1"/>
  <c r="E3" i="17"/>
  <c r="AQ27" i="17" s="1"/>
  <c r="AQ35" i="20"/>
  <c r="AM22" i="20" a="1"/>
  <c r="AM22" i="20" s="1"/>
  <c r="AK12" i="20" a="1"/>
  <c r="AK12" i="20" s="1"/>
  <c r="AL12" i="20" s="1"/>
  <c r="AM12" i="20" a="1"/>
  <c r="AM12" i="20" s="1"/>
  <c r="AN12" i="20" s="1"/>
  <c r="AQ43" i="20" a="1"/>
  <c r="AQ43" i="20" s="1"/>
  <c r="AM11" i="18" a="1"/>
  <c r="AM11" i="18" s="1"/>
  <c r="AN11" i="18" s="1"/>
  <c r="AM10" i="18" a="1"/>
  <c r="AM10" i="18" s="1"/>
  <c r="AK11" i="18" a="1"/>
  <c r="AK11" i="18" s="1"/>
  <c r="AL11" i="18" s="1"/>
  <c r="AM10" i="20" a="1"/>
  <c r="AM10" i="20" s="1"/>
  <c r="AQ35" i="17"/>
  <c r="AM12" i="17" a="1"/>
  <c r="AM12" i="17" s="1"/>
  <c r="AN12" i="17" s="1"/>
  <c r="AM22" i="17" a="1"/>
  <c r="AM22" i="17" s="1"/>
  <c r="AK12" i="17" a="1"/>
  <c r="AK12" i="17" s="1"/>
  <c r="AL12" i="17" s="1"/>
  <c r="AQ43" i="17" a="1"/>
  <c r="AQ43" i="17" s="1"/>
  <c r="AQ43" i="18" a="1"/>
  <c r="AQ43" i="18" s="1"/>
  <c r="AQ35" i="18"/>
  <c r="AM22" i="18" a="1"/>
  <c r="AM22" i="18" s="1"/>
  <c r="AK12" i="18" a="1"/>
  <c r="AK12" i="18" s="1"/>
  <c r="AL12" i="18" s="1"/>
  <c r="AM12" i="18" a="1"/>
  <c r="AM12" i="18" s="1"/>
  <c r="AN12" i="18" s="1"/>
  <c r="AM9" i="13"/>
  <c r="D17" i="11"/>
  <c r="D18" i="11" s="1"/>
  <c r="D10" i="11"/>
  <c r="AM36" i="13" s="1"/>
  <c r="D7" i="11"/>
  <c r="AQ27" i="13"/>
  <c r="AL44" i="13"/>
  <c r="AM44" i="13" s="1"/>
  <c r="AN44" i="13" s="1"/>
  <c r="AM35" i="13"/>
  <c r="C20" i="10"/>
  <c r="C9" i="10"/>
  <c r="C10" i="10" s="1"/>
  <c r="C8" i="10"/>
  <c r="C21" i="10" s="1"/>
  <c r="F15" i="9"/>
  <c r="F16" i="9" s="1"/>
  <c r="F17" i="9" s="1"/>
  <c r="B15" i="9"/>
  <c r="B16" i="9" s="1"/>
  <c r="H14" i="9"/>
  <c r="G14" i="9"/>
  <c r="F14" i="9"/>
  <c r="B14" i="9"/>
  <c r="H13" i="9"/>
  <c r="G13" i="9"/>
  <c r="L42" i="8"/>
  <c r="L44" i="8" s="1"/>
  <c r="L48" i="8" s="1"/>
  <c r="K42" i="8"/>
  <c r="J42" i="8"/>
  <c r="I42" i="8"/>
  <c r="H42" i="8"/>
  <c r="G42" i="8"/>
  <c r="F42" i="8"/>
  <c r="E42" i="8"/>
  <c r="E44" i="8" s="1"/>
  <c r="E48" i="8" s="1"/>
  <c r="D42" i="8"/>
  <c r="C42" i="8"/>
  <c r="B42" i="8"/>
  <c r="L41" i="8"/>
  <c r="K41" i="8"/>
  <c r="J41" i="8"/>
  <c r="I41" i="8"/>
  <c r="H41" i="8"/>
  <c r="G41" i="8"/>
  <c r="F41" i="8"/>
  <c r="E41" i="8"/>
  <c r="D41" i="8"/>
  <c r="C41" i="8"/>
  <c r="B41" i="8"/>
  <c r="N40" i="8"/>
  <c r="N41" i="8" s="1"/>
  <c r="N42" i="8" s="1"/>
  <c r="N43" i="8" s="1"/>
  <c r="N44" i="8" s="1"/>
  <c r="N45" i="8" s="1"/>
  <c r="N46" i="8" s="1"/>
  <c r="N47" i="8" s="1"/>
  <c r="N48" i="8" s="1"/>
  <c r="D40" i="8"/>
  <c r="E40" i="8" s="1"/>
  <c r="F40" i="8" s="1"/>
  <c r="G40" i="8" s="1"/>
  <c r="H40" i="8" s="1"/>
  <c r="I40" i="8" s="1"/>
  <c r="J40" i="8" s="1"/>
  <c r="K40" i="8" s="1"/>
  <c r="L40" i="8" s="1"/>
  <c r="C40" i="8"/>
  <c r="N39" i="8"/>
  <c r="B36" i="8"/>
  <c r="H20" i="8"/>
  <c r="G20" i="8"/>
  <c r="C18" i="8"/>
  <c r="D18" i="8" s="1"/>
  <c r="E18" i="8" s="1"/>
  <c r="F18" i="8" s="1"/>
  <c r="G18" i="8" s="1"/>
  <c r="H18" i="8" s="1"/>
  <c r="I18" i="8" s="1"/>
  <c r="J18" i="8" s="1"/>
  <c r="K18" i="8" s="1"/>
  <c r="L18" i="8" s="1"/>
  <c r="B15" i="8"/>
  <c r="B10" i="8"/>
  <c r="B11" i="8" s="1"/>
  <c r="I43" i="8" l="1"/>
  <c r="I47" i="8" s="1"/>
  <c r="AK10" i="20" a="1"/>
  <c r="AK10" i="20" s="1"/>
  <c r="AK11" i="20" a="1"/>
  <c r="AK11" i="20" s="1"/>
  <c r="AL11" i="20" s="1"/>
  <c r="AQ45" i="17"/>
  <c r="AQ46" i="17" s="1"/>
  <c r="AQ37" i="17"/>
  <c r="AJ27" i="17" a="1"/>
  <c r="AJ27" i="17" s="1"/>
  <c r="AM24" i="17" a="1"/>
  <c r="AM24" i="17" s="1"/>
  <c r="AN24" i="17" s="1"/>
  <c r="AM10" i="17" a="1"/>
  <c r="AM10" i="17" s="1"/>
  <c r="AM13" i="17" s="1"/>
  <c r="AN13" i="17" s="1"/>
  <c r="AJ27" i="20" a="1"/>
  <c r="AJ27" i="20" s="1"/>
  <c r="AQ45" i="20"/>
  <c r="AQ46" i="20" s="1"/>
  <c r="AQ37" i="20"/>
  <c r="AM24" i="20" a="1"/>
  <c r="AM24" i="20" s="1"/>
  <c r="AN24" i="20" s="1"/>
  <c r="AK11" i="17" a="1"/>
  <c r="AK11" i="17" s="1"/>
  <c r="AL11" i="17" s="1"/>
  <c r="AQ46" i="18"/>
  <c r="AQ38" i="17"/>
  <c r="AK10" i="17" a="1"/>
  <c r="AK10" i="17" s="1"/>
  <c r="AL10" i="17" s="1"/>
  <c r="AJ27" i="18" a="1"/>
  <c r="AJ27" i="18" s="1"/>
  <c r="AM24" i="18" a="1"/>
  <c r="AM24" i="18" s="1"/>
  <c r="AN24" i="18" s="1"/>
  <c r="AQ37" i="18"/>
  <c r="AQ45" i="18"/>
  <c r="AQ38" i="18"/>
  <c r="AQ38" i="20"/>
  <c r="AK13" i="17"/>
  <c r="AK14" i="17" s="1"/>
  <c r="AM13" i="20"/>
  <c r="AN13" i="20" s="1"/>
  <c r="AN10" i="20"/>
  <c r="AL10" i="20"/>
  <c r="AJ37" i="20"/>
  <c r="AJ49" i="20"/>
  <c r="AJ48" i="20"/>
  <c r="AJ49" i="18"/>
  <c r="AJ37" i="18"/>
  <c r="AJ48" i="18"/>
  <c r="AN22" i="18"/>
  <c r="AN22" i="17"/>
  <c r="AL10" i="18"/>
  <c r="AK13" i="18"/>
  <c r="AK49" i="18" s="1"/>
  <c r="AN22" i="20"/>
  <c r="AN10" i="17"/>
  <c r="AJ37" i="17"/>
  <c r="AJ49" i="17"/>
  <c r="AJ48" i="17"/>
  <c r="AN10" i="18"/>
  <c r="AM13" i="18"/>
  <c r="AM14" i="18" s="1"/>
  <c r="AQ37" i="13"/>
  <c r="AQ45" i="13"/>
  <c r="AM24" i="13" a="1"/>
  <c r="AM24" i="13" s="1"/>
  <c r="AN24" i="13" s="1"/>
  <c r="AJ27" i="13" a="1"/>
  <c r="AJ27" i="13" s="1"/>
  <c r="AN27" i="13" s="1"/>
  <c r="AN9" i="13"/>
  <c r="D11" i="11"/>
  <c r="D20" i="11" s="1"/>
  <c r="AJ34" i="13"/>
  <c r="AM34" i="13" s="1"/>
  <c r="AM37" i="13" s="1"/>
  <c r="AL46" i="13"/>
  <c r="AN46" i="13"/>
  <c r="AM46" i="13"/>
  <c r="AK46" i="13"/>
  <c r="AQ35" i="13"/>
  <c r="AL37" i="13"/>
  <c r="AQ43" i="13" a="1"/>
  <c r="AQ43" i="13" s="1"/>
  <c r="AK12" i="13" a="1"/>
  <c r="AK12" i="13" s="1"/>
  <c r="AL12" i="13" s="1"/>
  <c r="AM12" i="13" a="1"/>
  <c r="AM12" i="13" s="1"/>
  <c r="AN12" i="13" s="1"/>
  <c r="AM10" i="13" a="1"/>
  <c r="AM10" i="13" s="1"/>
  <c r="AK11" i="13" a="1"/>
  <c r="AK11" i="13" s="1"/>
  <c r="AL11" i="13" s="1"/>
  <c r="AM11" i="13" a="1"/>
  <c r="AM11" i="13" s="1"/>
  <c r="AN11" i="13" s="1"/>
  <c r="B21" i="8"/>
  <c r="G21" i="8"/>
  <c r="H21" i="8"/>
  <c r="H43" i="8"/>
  <c r="H47" i="8" s="1"/>
  <c r="B25" i="8"/>
  <c r="B26" i="8" s="1"/>
  <c r="F18" i="9"/>
  <c r="G17" i="9"/>
  <c r="H17" i="9"/>
  <c r="G16" i="9"/>
  <c r="H16" i="9"/>
  <c r="C23" i="10"/>
  <c r="C11" i="10"/>
  <c r="K44" i="8"/>
  <c r="K48" i="8" s="1"/>
  <c r="C44" i="8"/>
  <c r="C48" i="8" s="1"/>
  <c r="G43" i="8"/>
  <c r="G47" i="8" s="1"/>
  <c r="F20" i="8"/>
  <c r="F21" i="8" s="1"/>
  <c r="D43" i="8"/>
  <c r="D47" i="8" s="1"/>
  <c r="K20" i="8"/>
  <c r="K21" i="8" s="1"/>
  <c r="K43" i="8"/>
  <c r="K47" i="8" s="1"/>
  <c r="B30" i="8"/>
  <c r="B31" i="8" s="1"/>
  <c r="J44" i="8"/>
  <c r="J48" i="8" s="1"/>
  <c r="B44" i="8"/>
  <c r="B48" i="8" s="1"/>
  <c r="F43" i="8"/>
  <c r="F47" i="8" s="1"/>
  <c r="E20" i="8"/>
  <c r="E21" i="8" s="1"/>
  <c r="L43" i="8"/>
  <c r="L47" i="8" s="1"/>
  <c r="C20" i="8"/>
  <c r="C21" i="8" s="1"/>
  <c r="B20" i="8"/>
  <c r="I44" i="8"/>
  <c r="I48" i="8" s="1"/>
  <c r="E43" i="8"/>
  <c r="E47" i="8" s="1"/>
  <c r="L20" i="8"/>
  <c r="L21" i="8" s="1"/>
  <c r="D20" i="8"/>
  <c r="D21" i="8" s="1"/>
  <c r="H44" i="8"/>
  <c r="H48" i="8" s="1"/>
  <c r="G44" i="8"/>
  <c r="G48" i="8" s="1"/>
  <c r="C43" i="8"/>
  <c r="C47" i="8" s="1"/>
  <c r="J20" i="8"/>
  <c r="J21" i="8" s="1"/>
  <c r="I20" i="8"/>
  <c r="I21" i="8" s="1"/>
  <c r="F44" i="8"/>
  <c r="F48" i="8" s="1"/>
  <c r="J43" i="8"/>
  <c r="J47" i="8" s="1"/>
  <c r="B43" i="8"/>
  <c r="B47" i="8" s="1"/>
  <c r="D44" i="8"/>
  <c r="D48" i="8" s="1"/>
  <c r="K21" i="9"/>
  <c r="B17" i="9"/>
  <c r="C22" i="10"/>
  <c r="H15" i="9"/>
  <c r="G15" i="9"/>
  <c r="AK13" i="20" l="1"/>
  <c r="AL13" i="20" s="1"/>
  <c r="AJ30" i="18"/>
  <c r="AN27" i="18"/>
  <c r="AM27" i="18"/>
  <c r="AM30" i="18" s="1"/>
  <c r="AN30" i="17"/>
  <c r="AN30" i="18"/>
  <c r="AJ30" i="20"/>
  <c r="AM27" i="20"/>
  <c r="AM49" i="20" s="1"/>
  <c r="AN27" i="20"/>
  <c r="AN30" i="20" s="1"/>
  <c r="AM27" i="17"/>
  <c r="AM30" i="17" s="1"/>
  <c r="AN27" i="17"/>
  <c r="AJ30" i="17"/>
  <c r="AK49" i="20"/>
  <c r="AK48" i="20"/>
  <c r="AK49" i="17"/>
  <c r="AM14" i="20"/>
  <c r="AK14" i="20"/>
  <c r="AM48" i="18"/>
  <c r="AM14" i="17"/>
  <c r="AM49" i="17"/>
  <c r="AM48" i="17"/>
  <c r="AK48" i="18"/>
  <c r="AL13" i="18"/>
  <c r="AL49" i="18" s="1"/>
  <c r="AN13" i="18"/>
  <c r="AN49" i="17"/>
  <c r="AN14" i="20"/>
  <c r="AN49" i="20"/>
  <c r="AN48" i="20"/>
  <c r="AN48" i="17"/>
  <c r="AN14" i="17"/>
  <c r="AQ38" i="13"/>
  <c r="AJ51" i="17"/>
  <c r="AJ50" i="17"/>
  <c r="AK14" i="18"/>
  <c r="AJ50" i="18"/>
  <c r="AJ51" i="18"/>
  <c r="AL48" i="20"/>
  <c r="AL49" i="20"/>
  <c r="AL14" i="20"/>
  <c r="AK48" i="17"/>
  <c r="AL13" i="17"/>
  <c r="AL48" i="17" s="1"/>
  <c r="AJ50" i="20"/>
  <c r="AJ51" i="20"/>
  <c r="AJ30" i="13"/>
  <c r="AM27" i="13"/>
  <c r="AM30" i="13" s="1"/>
  <c r="AJ37" i="13"/>
  <c r="AQ46" i="13"/>
  <c r="AJ48" i="13"/>
  <c r="AJ49" i="13"/>
  <c r="AN22" i="13"/>
  <c r="AN30" i="13" s="1"/>
  <c r="AN10" i="13"/>
  <c r="AM13" i="13"/>
  <c r="AN13" i="13" s="1"/>
  <c r="AL10" i="13"/>
  <c r="AK13" i="13"/>
  <c r="AL13" i="13" s="1"/>
  <c r="D8" i="10"/>
  <c r="D9" i="10"/>
  <c r="D7" i="10"/>
  <c r="D22" i="10"/>
  <c r="D21" i="10"/>
  <c r="D20" i="10"/>
  <c r="C24" i="10"/>
  <c r="C12" i="10"/>
  <c r="F19" i="9"/>
  <c r="H18" i="9"/>
  <c r="G18" i="9"/>
  <c r="K22" i="9"/>
  <c r="B18" i="9"/>
  <c r="L21" i="9"/>
  <c r="E7" i="10" s="1"/>
  <c r="O21" i="9"/>
  <c r="F20" i="10" s="1"/>
  <c r="M21" i="9"/>
  <c r="E20" i="10" s="1"/>
  <c r="N21" i="9"/>
  <c r="F7" i="10" s="1"/>
  <c r="AN49" i="18" l="1"/>
  <c r="AK50" i="20"/>
  <c r="AK51" i="20"/>
  <c r="AM30" i="20"/>
  <c r="AM48" i="20"/>
  <c r="AM50" i="20" s="1"/>
  <c r="AM49" i="18"/>
  <c r="AM51" i="18" s="1"/>
  <c r="AM50" i="17"/>
  <c r="AL14" i="18"/>
  <c r="AM51" i="17"/>
  <c r="AL14" i="17"/>
  <c r="AL48" i="18"/>
  <c r="AL50" i="18" s="1"/>
  <c r="AK50" i="17"/>
  <c r="AK51" i="17"/>
  <c r="AL49" i="17"/>
  <c r="AL51" i="17" s="1"/>
  <c r="AN48" i="18"/>
  <c r="AN51" i="20"/>
  <c r="AN50" i="20"/>
  <c r="AN14" i="18"/>
  <c r="AL51" i="20"/>
  <c r="AL50" i="20"/>
  <c r="AK50" i="18"/>
  <c r="AK51" i="18"/>
  <c r="AN51" i="17"/>
  <c r="AN50" i="17"/>
  <c r="AJ51" i="13"/>
  <c r="AL49" i="13"/>
  <c r="AL48" i="13"/>
  <c r="AM49" i="13"/>
  <c r="AK48" i="13"/>
  <c r="AN49" i="13"/>
  <c r="AN48" i="13"/>
  <c r="AM48" i="13"/>
  <c r="AJ50" i="13"/>
  <c r="AK49" i="13"/>
  <c r="AN14" i="13"/>
  <c r="AL14" i="13"/>
  <c r="AK14" i="13"/>
  <c r="AM14" i="13"/>
  <c r="G20" i="10"/>
  <c r="O22" i="9"/>
  <c r="F21" i="10" s="1"/>
  <c r="N22" i="9"/>
  <c r="F8" i="10" s="1"/>
  <c r="L22" i="9"/>
  <c r="E8" i="10" s="1"/>
  <c r="G8" i="10" s="1"/>
  <c r="M22" i="9"/>
  <c r="E21" i="10" s="1"/>
  <c r="G21" i="10" s="1"/>
  <c r="C13" i="10"/>
  <c r="C25" i="10"/>
  <c r="B19" i="9"/>
  <c r="K23" i="9"/>
  <c r="F20" i="9"/>
  <c r="H19" i="9"/>
  <c r="D23" i="10" s="1"/>
  <c r="G19" i="9"/>
  <c r="D10" i="10" s="1"/>
  <c r="G7" i="10"/>
  <c r="AM50" i="18" l="1"/>
  <c r="AM51" i="20"/>
  <c r="AL51" i="18"/>
  <c r="AN51" i="18"/>
  <c r="AN50" i="18"/>
  <c r="AL50" i="17"/>
  <c r="AK50" i="13"/>
  <c r="AN51" i="13"/>
  <c r="AM50" i="13"/>
  <c r="AM51" i="13"/>
  <c r="AL51" i="13"/>
  <c r="AL50" i="13"/>
  <c r="AN50" i="13"/>
  <c r="AK51" i="13"/>
  <c r="F21" i="9"/>
  <c r="H20" i="9"/>
  <c r="D24" i="10" s="1"/>
  <c r="G20" i="9"/>
  <c r="D11" i="10" s="1"/>
  <c r="O23" i="9"/>
  <c r="F22" i="10" s="1"/>
  <c r="N23" i="9"/>
  <c r="F9" i="10" s="1"/>
  <c r="M23" i="9"/>
  <c r="E22" i="10" s="1"/>
  <c r="L23" i="9"/>
  <c r="E9" i="10" s="1"/>
  <c r="B20" i="9"/>
  <c r="K24" i="9"/>
  <c r="C26" i="10"/>
  <c r="C14" i="10"/>
  <c r="C27" i="10" l="1"/>
  <c r="C15" i="10"/>
  <c r="N24" i="9"/>
  <c r="F10" i="10" s="1"/>
  <c r="O24" i="9"/>
  <c r="F23" i="10" s="1"/>
  <c r="M24" i="9"/>
  <c r="E23" i="10" s="1"/>
  <c r="G23" i="10" s="1"/>
  <c r="L24" i="9"/>
  <c r="E10" i="10" s="1"/>
  <c r="G10" i="10" s="1"/>
  <c r="F22" i="9"/>
  <c r="G21" i="9"/>
  <c r="D12" i="10" s="1"/>
  <c r="H21" i="9"/>
  <c r="D25" i="10" s="1"/>
  <c r="G9" i="10"/>
  <c r="K25" i="9"/>
  <c r="B21" i="9"/>
  <c r="G22" i="10"/>
  <c r="H22" i="9" l="1"/>
  <c r="D26" i="10" s="1"/>
  <c r="F23" i="9"/>
  <c r="G22" i="9"/>
  <c r="D13" i="10" s="1"/>
  <c r="K26" i="9"/>
  <c r="B22" i="9"/>
  <c r="L25" i="9"/>
  <c r="E11" i="10" s="1"/>
  <c r="G11" i="10" s="1"/>
  <c r="O25" i="9"/>
  <c r="F24" i="10" s="1"/>
  <c r="N25" i="9"/>
  <c r="F11" i="10" s="1"/>
  <c r="M25" i="9"/>
  <c r="E24" i="10" s="1"/>
  <c r="C16" i="10"/>
  <c r="C28" i="10"/>
  <c r="K27" i="9" l="1"/>
  <c r="B23" i="9"/>
  <c r="C29" i="10"/>
  <c r="C17" i="10"/>
  <c r="C30" i="10" s="1"/>
  <c r="O26" i="9"/>
  <c r="F25" i="10" s="1"/>
  <c r="N26" i="9"/>
  <c r="F12" i="10" s="1"/>
  <c r="L26" i="9"/>
  <c r="E12" i="10" s="1"/>
  <c r="G12" i="10" s="1"/>
  <c r="M26" i="9"/>
  <c r="E25" i="10" s="1"/>
  <c r="G25" i="10" s="1"/>
  <c r="G24" i="10"/>
  <c r="H23" i="9"/>
  <c r="D27" i="10" s="1"/>
  <c r="F24" i="9"/>
  <c r="G23" i="9"/>
  <c r="D14" i="10" s="1"/>
  <c r="F25" i="9" l="1"/>
  <c r="G24" i="9"/>
  <c r="D15" i="10" s="1"/>
  <c r="H24" i="9"/>
  <c r="D28" i="10" s="1"/>
  <c r="K28" i="9"/>
  <c r="B24" i="9"/>
  <c r="N27" i="9"/>
  <c r="F13" i="10" s="1"/>
  <c r="M27" i="9"/>
  <c r="E26" i="10" s="1"/>
  <c r="L27" i="9"/>
  <c r="E13" i="10" s="1"/>
  <c r="G13" i="10" s="1"/>
  <c r="O27" i="9"/>
  <c r="F26" i="10" s="1"/>
  <c r="K29" i="9" l="1"/>
  <c r="B25" i="9"/>
  <c r="M28" i="9"/>
  <c r="E27" i="10" s="1"/>
  <c r="L28" i="9"/>
  <c r="E14" i="10" s="1"/>
  <c r="N28" i="9"/>
  <c r="F14" i="10" s="1"/>
  <c r="O28" i="9"/>
  <c r="F27" i="10" s="1"/>
  <c r="G26" i="10"/>
  <c r="G25" i="9"/>
  <c r="D16" i="10" s="1"/>
  <c r="F26" i="9"/>
  <c r="H25" i="9"/>
  <c r="D29" i="10" s="1"/>
  <c r="G14" i="10" l="1"/>
  <c r="H26" i="9"/>
  <c r="D30" i="10" s="1"/>
  <c r="G26" i="9"/>
  <c r="D17" i="10" s="1"/>
  <c r="F27" i="9"/>
  <c r="G27" i="10"/>
  <c r="K30" i="9"/>
  <c r="B26" i="9"/>
  <c r="L29" i="9"/>
  <c r="E15" i="10" s="1"/>
  <c r="O29" i="9"/>
  <c r="F28" i="10" s="1"/>
  <c r="N29" i="9"/>
  <c r="F15" i="10" s="1"/>
  <c r="M29" i="9"/>
  <c r="E28" i="10" s="1"/>
  <c r="G28" i="10" s="1"/>
  <c r="H27" i="9" l="1"/>
  <c r="F28" i="9"/>
  <c r="G27" i="9"/>
  <c r="O30" i="9"/>
  <c r="F29" i="10" s="1"/>
  <c r="N30" i="9"/>
  <c r="F16" i="10" s="1"/>
  <c r="L30" i="9"/>
  <c r="E16" i="10" s="1"/>
  <c r="G16" i="10" s="1"/>
  <c r="M30" i="9"/>
  <c r="E29" i="10" s="1"/>
  <c r="G29" i="10" s="1"/>
  <c r="G15" i="10"/>
  <c r="K31" i="9"/>
  <c r="B27" i="9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N31" i="9" l="1"/>
  <c r="F17" i="10" s="1"/>
  <c r="O31" i="9"/>
  <c r="F30" i="10" s="1"/>
  <c r="M31" i="9"/>
  <c r="E30" i="10" s="1"/>
  <c r="L31" i="9"/>
  <c r="E17" i="10" s="1"/>
  <c r="G17" i="10" s="1"/>
  <c r="G18" i="10" s="1"/>
  <c r="G28" i="9"/>
  <c r="F29" i="9"/>
  <c r="H28" i="9"/>
  <c r="F30" i="9" l="1"/>
  <c r="G29" i="9"/>
  <c r="H29" i="9"/>
  <c r="G30" i="10"/>
  <c r="G31" i="10" s="1"/>
  <c r="H30" i="9" l="1"/>
  <c r="F31" i="9"/>
  <c r="G30" i="9"/>
  <c r="H31" i="9" l="1"/>
  <c r="F32" i="9"/>
  <c r="G31" i="9"/>
  <c r="G32" i="9" l="1"/>
  <c r="F33" i="9"/>
  <c r="H32" i="9"/>
  <c r="H33" i="9" l="1"/>
  <c r="F34" i="9"/>
  <c r="G33" i="9"/>
  <c r="G34" i="9" l="1"/>
  <c r="F35" i="9"/>
  <c r="H34" i="9"/>
  <c r="G35" i="9" l="1"/>
  <c r="F36" i="9"/>
  <c r="H35" i="9"/>
  <c r="G36" i="9" l="1"/>
  <c r="F37" i="9"/>
  <c r="H36" i="9"/>
  <c r="H37" i="9" l="1"/>
  <c r="F38" i="9"/>
  <c r="G37" i="9"/>
  <c r="G38" i="9" l="1"/>
  <c r="F39" i="9"/>
  <c r="H38" i="9"/>
  <c r="G39" i="9" l="1"/>
  <c r="F40" i="9"/>
  <c r="H39" i="9"/>
  <c r="G40" i="9" l="1"/>
  <c r="F41" i="9"/>
  <c r="H40" i="9"/>
  <c r="F42" i="9" l="1"/>
  <c r="H41" i="9"/>
  <c r="G41" i="9"/>
  <c r="G42" i="9" l="1"/>
  <c r="F43" i="9"/>
  <c r="H42" i="9"/>
  <c r="H43" i="9" l="1"/>
  <c r="F44" i="9"/>
  <c r="G43" i="9"/>
  <c r="G44" i="9" l="1"/>
  <c r="F45" i="9"/>
  <c r="H44" i="9"/>
  <c r="G45" i="9" l="1"/>
  <c r="F46" i="9"/>
  <c r="H45" i="9"/>
  <c r="G46" i="9" l="1"/>
  <c r="H46" i="9"/>
  <c r="I48" i="2" l="1"/>
  <c r="I45" i="2"/>
  <c r="J45" i="2" s="1"/>
  <c r="J48" i="2" l="1"/>
  <c r="K45" i="2"/>
  <c r="L45" i="2" l="1"/>
  <c r="M45" i="2" l="1"/>
  <c r="H29" i="2" l="1"/>
  <c r="I29" i="2" s="1"/>
  <c r="J29" i="2" s="1"/>
  <c r="K29" i="2" s="1"/>
  <c r="L29" i="2" s="1"/>
  <c r="M29" i="2" s="1"/>
  <c r="F171" i="5" l="1"/>
  <c r="F172" i="5"/>
  <c r="F173" i="5"/>
  <c r="F174" i="5"/>
  <c r="F175" i="5"/>
  <c r="F170" i="5"/>
  <c r="F24" i="5"/>
  <c r="F25" i="5"/>
  <c r="F26" i="5"/>
  <c r="F27" i="5"/>
  <c r="F28" i="5"/>
  <c r="F23" i="5"/>
  <c r="F94" i="5"/>
  <c r="F93" i="5"/>
  <c r="H86" i="5"/>
  <c r="F177" i="5" l="1"/>
  <c r="F176" i="5"/>
  <c r="G174" i="5"/>
  <c r="H174" i="5" s="1"/>
  <c r="I174" i="5" s="1"/>
  <c r="J174" i="5" s="1"/>
  <c r="K174" i="5" s="1"/>
  <c r="L174" i="5" s="1"/>
  <c r="G171" i="5"/>
  <c r="H171" i="5" s="1"/>
  <c r="I171" i="5" s="1"/>
  <c r="J171" i="5" s="1"/>
  <c r="K171" i="5" s="1"/>
  <c r="L171" i="5" s="1"/>
  <c r="E174" i="5"/>
  <c r="E171" i="5"/>
  <c r="E170" i="5"/>
  <c r="B98" i="6" l="1"/>
  <c r="C98" i="6"/>
  <c r="D98" i="6"/>
  <c r="E98" i="6"/>
  <c r="F98" i="6"/>
  <c r="G98" i="6"/>
  <c r="H98" i="6"/>
  <c r="I98" i="6"/>
  <c r="J98" i="6"/>
  <c r="K98" i="6"/>
  <c r="L98" i="6"/>
  <c r="M98" i="6"/>
  <c r="N98" i="6"/>
  <c r="O98" i="6"/>
  <c r="P98" i="6"/>
  <c r="Q98" i="6"/>
  <c r="R98" i="6"/>
  <c r="S98" i="6"/>
  <c r="B99" i="6"/>
  <c r="C99" i="6"/>
  <c r="D99" i="6"/>
  <c r="E99" i="6"/>
  <c r="F99" i="6"/>
  <c r="G99" i="6"/>
  <c r="H99" i="6"/>
  <c r="I99" i="6"/>
  <c r="J99" i="6"/>
  <c r="K99" i="6"/>
  <c r="L99" i="6"/>
  <c r="M99" i="6"/>
  <c r="N99" i="6"/>
  <c r="O99" i="6"/>
  <c r="P99" i="6"/>
  <c r="Q99" i="6"/>
  <c r="R99" i="6"/>
  <c r="S99" i="6"/>
  <c r="B100" i="6"/>
  <c r="C100" i="6"/>
  <c r="D100" i="6"/>
  <c r="E100" i="6"/>
  <c r="F100" i="6"/>
  <c r="G100" i="6"/>
  <c r="H100" i="6"/>
  <c r="I100" i="6"/>
  <c r="J100" i="6"/>
  <c r="K100" i="6"/>
  <c r="L100" i="6"/>
  <c r="M100" i="6"/>
  <c r="N100" i="6"/>
  <c r="O100" i="6"/>
  <c r="P100" i="6"/>
  <c r="Q100" i="6"/>
  <c r="R100" i="6"/>
  <c r="S100" i="6"/>
  <c r="B101" i="6"/>
  <c r="C101" i="6"/>
  <c r="D101" i="6"/>
  <c r="E101" i="6"/>
  <c r="F101" i="6"/>
  <c r="G101" i="6"/>
  <c r="H101" i="6"/>
  <c r="I101" i="6"/>
  <c r="J101" i="6"/>
  <c r="K101" i="6"/>
  <c r="L101" i="6"/>
  <c r="M101" i="6"/>
  <c r="N101" i="6"/>
  <c r="O101" i="6"/>
  <c r="P101" i="6"/>
  <c r="Q101" i="6"/>
  <c r="R101" i="6"/>
  <c r="S101" i="6"/>
  <c r="B102" i="6"/>
  <c r="C102" i="6"/>
  <c r="D102" i="6"/>
  <c r="E102" i="6"/>
  <c r="F102" i="6"/>
  <c r="G102" i="6"/>
  <c r="H102" i="6"/>
  <c r="I102" i="6"/>
  <c r="J102" i="6"/>
  <c r="K102" i="6"/>
  <c r="L102" i="6"/>
  <c r="M102" i="6"/>
  <c r="N102" i="6"/>
  <c r="O102" i="6"/>
  <c r="P102" i="6"/>
  <c r="Q102" i="6"/>
  <c r="R102" i="6"/>
  <c r="S102" i="6"/>
  <c r="B103" i="6"/>
  <c r="C103" i="6"/>
  <c r="D103" i="6"/>
  <c r="E103" i="6"/>
  <c r="F103" i="6"/>
  <c r="G103" i="6"/>
  <c r="H103" i="6"/>
  <c r="I103" i="6"/>
  <c r="J103" i="6"/>
  <c r="K103" i="6"/>
  <c r="L103" i="6"/>
  <c r="M103" i="6"/>
  <c r="N103" i="6"/>
  <c r="O103" i="6"/>
  <c r="P103" i="6"/>
  <c r="Q103" i="6"/>
  <c r="R103" i="6"/>
  <c r="S103" i="6"/>
  <c r="B104" i="6"/>
  <c r="C104" i="6"/>
  <c r="D104" i="6"/>
  <c r="E104" i="6"/>
  <c r="F104" i="6"/>
  <c r="G104" i="6"/>
  <c r="H104" i="6"/>
  <c r="I104" i="6"/>
  <c r="J104" i="6"/>
  <c r="K104" i="6"/>
  <c r="L104" i="6"/>
  <c r="M104" i="6"/>
  <c r="N104" i="6"/>
  <c r="O104" i="6"/>
  <c r="P104" i="6"/>
  <c r="Q104" i="6"/>
  <c r="R104" i="6"/>
  <c r="S104" i="6"/>
  <c r="B105" i="6"/>
  <c r="C105" i="6"/>
  <c r="D105" i="6"/>
  <c r="E105" i="6"/>
  <c r="F105" i="6"/>
  <c r="G105" i="6"/>
  <c r="H105" i="6"/>
  <c r="I105" i="6"/>
  <c r="J105" i="6"/>
  <c r="K105" i="6"/>
  <c r="L105" i="6"/>
  <c r="M105" i="6"/>
  <c r="N105" i="6"/>
  <c r="O105" i="6"/>
  <c r="P105" i="6"/>
  <c r="Q105" i="6"/>
  <c r="R105" i="6"/>
  <c r="S105" i="6"/>
  <c r="B106" i="6"/>
  <c r="C106" i="6"/>
  <c r="D106" i="6"/>
  <c r="E106" i="6"/>
  <c r="F106" i="6"/>
  <c r="G106" i="6"/>
  <c r="H106" i="6"/>
  <c r="I106" i="6"/>
  <c r="J106" i="6"/>
  <c r="K106" i="6"/>
  <c r="L106" i="6"/>
  <c r="M106" i="6"/>
  <c r="N106" i="6"/>
  <c r="O106" i="6"/>
  <c r="P106" i="6"/>
  <c r="Q106" i="6"/>
  <c r="R106" i="6"/>
  <c r="S106" i="6"/>
  <c r="B107" i="6"/>
  <c r="C107" i="6"/>
  <c r="D107" i="6"/>
  <c r="E107" i="6"/>
  <c r="F107" i="6"/>
  <c r="G107" i="6"/>
  <c r="H107" i="6"/>
  <c r="I107" i="6"/>
  <c r="J107" i="6"/>
  <c r="K107" i="6"/>
  <c r="L107" i="6"/>
  <c r="M107" i="6"/>
  <c r="N107" i="6"/>
  <c r="O107" i="6"/>
  <c r="P107" i="6"/>
  <c r="Q107" i="6"/>
  <c r="R107" i="6"/>
  <c r="S107" i="6"/>
  <c r="B108" i="6"/>
  <c r="C108" i="6"/>
  <c r="D108" i="6"/>
  <c r="E108" i="6"/>
  <c r="F108" i="6"/>
  <c r="G108" i="6"/>
  <c r="H108" i="6"/>
  <c r="I108" i="6"/>
  <c r="J108" i="6"/>
  <c r="K108" i="6"/>
  <c r="L108" i="6"/>
  <c r="M108" i="6"/>
  <c r="N108" i="6"/>
  <c r="O108" i="6"/>
  <c r="P108" i="6"/>
  <c r="Q108" i="6"/>
  <c r="R108" i="6"/>
  <c r="S108" i="6"/>
  <c r="B109" i="6"/>
  <c r="C109" i="6"/>
  <c r="D109" i="6"/>
  <c r="E109" i="6"/>
  <c r="F109" i="6"/>
  <c r="G109" i="6"/>
  <c r="H109" i="6"/>
  <c r="I109" i="6"/>
  <c r="J109" i="6"/>
  <c r="K109" i="6"/>
  <c r="L109" i="6"/>
  <c r="M109" i="6"/>
  <c r="N109" i="6"/>
  <c r="O109" i="6"/>
  <c r="P109" i="6"/>
  <c r="Q109" i="6"/>
  <c r="R109" i="6"/>
  <c r="S109" i="6"/>
  <c r="B110" i="6"/>
  <c r="C110" i="6"/>
  <c r="D110" i="6"/>
  <c r="E110" i="6"/>
  <c r="F110" i="6"/>
  <c r="G110" i="6"/>
  <c r="H110" i="6"/>
  <c r="I110" i="6"/>
  <c r="J110" i="6"/>
  <c r="K110" i="6"/>
  <c r="L110" i="6"/>
  <c r="M110" i="6"/>
  <c r="N110" i="6"/>
  <c r="O110" i="6"/>
  <c r="P110" i="6"/>
  <c r="Q110" i="6"/>
  <c r="R110" i="6"/>
  <c r="S110" i="6"/>
  <c r="B111" i="6"/>
  <c r="C111" i="6"/>
  <c r="D111" i="6"/>
  <c r="E111" i="6"/>
  <c r="F111" i="6"/>
  <c r="G111" i="6"/>
  <c r="H111" i="6"/>
  <c r="I111" i="6"/>
  <c r="J111" i="6"/>
  <c r="K111" i="6"/>
  <c r="L111" i="6"/>
  <c r="M111" i="6"/>
  <c r="N111" i="6"/>
  <c r="O111" i="6"/>
  <c r="P111" i="6"/>
  <c r="Q111" i="6"/>
  <c r="R111" i="6"/>
  <c r="S111" i="6"/>
  <c r="B112" i="6"/>
  <c r="C112" i="6"/>
  <c r="D112" i="6"/>
  <c r="E112" i="6"/>
  <c r="F112" i="6"/>
  <c r="G112" i="6"/>
  <c r="H112" i="6"/>
  <c r="I112" i="6"/>
  <c r="J112" i="6"/>
  <c r="K112" i="6"/>
  <c r="L112" i="6"/>
  <c r="M112" i="6"/>
  <c r="N112" i="6"/>
  <c r="O112" i="6"/>
  <c r="P112" i="6"/>
  <c r="Q112" i="6"/>
  <c r="R112" i="6"/>
  <c r="S112" i="6"/>
  <c r="B113" i="6"/>
  <c r="C113" i="6"/>
  <c r="D113" i="6"/>
  <c r="E113" i="6"/>
  <c r="F113" i="6"/>
  <c r="G113" i="6"/>
  <c r="H113" i="6"/>
  <c r="I113" i="6"/>
  <c r="J113" i="6"/>
  <c r="K113" i="6"/>
  <c r="L113" i="6"/>
  <c r="M113" i="6"/>
  <c r="N113" i="6"/>
  <c r="O113" i="6"/>
  <c r="P113" i="6"/>
  <c r="Q113" i="6"/>
  <c r="R113" i="6"/>
  <c r="S113" i="6"/>
  <c r="B114" i="6"/>
  <c r="C114" i="6"/>
  <c r="D114" i="6"/>
  <c r="E114" i="6"/>
  <c r="F114" i="6"/>
  <c r="G114" i="6"/>
  <c r="H114" i="6"/>
  <c r="I114" i="6"/>
  <c r="J114" i="6"/>
  <c r="K114" i="6"/>
  <c r="L114" i="6"/>
  <c r="M114" i="6"/>
  <c r="N114" i="6"/>
  <c r="O114" i="6"/>
  <c r="P114" i="6"/>
  <c r="Q114" i="6"/>
  <c r="R114" i="6"/>
  <c r="S114" i="6"/>
  <c r="B115" i="6"/>
  <c r="C115" i="6"/>
  <c r="D115" i="6"/>
  <c r="E115" i="6"/>
  <c r="F115" i="6"/>
  <c r="G115" i="6"/>
  <c r="H115" i="6"/>
  <c r="I115" i="6"/>
  <c r="J115" i="6"/>
  <c r="K115" i="6"/>
  <c r="L115" i="6"/>
  <c r="M115" i="6"/>
  <c r="N115" i="6"/>
  <c r="O115" i="6"/>
  <c r="P115" i="6"/>
  <c r="Q115" i="6"/>
  <c r="R115" i="6"/>
  <c r="S115" i="6"/>
  <c r="B116" i="6"/>
  <c r="C116" i="6"/>
  <c r="D116" i="6"/>
  <c r="E116" i="6"/>
  <c r="F116" i="6"/>
  <c r="G116" i="6"/>
  <c r="H116" i="6"/>
  <c r="I116" i="6"/>
  <c r="J116" i="6"/>
  <c r="K116" i="6"/>
  <c r="L116" i="6"/>
  <c r="M116" i="6"/>
  <c r="N116" i="6"/>
  <c r="O116" i="6"/>
  <c r="P116" i="6"/>
  <c r="Q116" i="6"/>
  <c r="R116" i="6"/>
  <c r="S116" i="6"/>
  <c r="B117" i="6"/>
  <c r="C117" i="6"/>
  <c r="D117" i="6"/>
  <c r="E117" i="6"/>
  <c r="F117" i="6"/>
  <c r="G117" i="6"/>
  <c r="H117" i="6"/>
  <c r="I117" i="6"/>
  <c r="J117" i="6"/>
  <c r="K117" i="6"/>
  <c r="L117" i="6"/>
  <c r="M117" i="6"/>
  <c r="N117" i="6"/>
  <c r="O117" i="6"/>
  <c r="P117" i="6"/>
  <c r="Q117" i="6"/>
  <c r="R117" i="6"/>
  <c r="S117" i="6"/>
  <c r="B118" i="6"/>
  <c r="C118" i="6"/>
  <c r="D118" i="6"/>
  <c r="E118" i="6"/>
  <c r="F118" i="6"/>
  <c r="G118" i="6"/>
  <c r="H118" i="6"/>
  <c r="I118" i="6"/>
  <c r="J118" i="6"/>
  <c r="K118" i="6"/>
  <c r="L118" i="6"/>
  <c r="M118" i="6"/>
  <c r="N118" i="6"/>
  <c r="O118" i="6"/>
  <c r="P118" i="6"/>
  <c r="Q118" i="6"/>
  <c r="R118" i="6"/>
  <c r="S118" i="6"/>
  <c r="B119" i="6"/>
  <c r="C119" i="6"/>
  <c r="D119" i="6"/>
  <c r="E119" i="6"/>
  <c r="F119" i="6"/>
  <c r="G119" i="6"/>
  <c r="H119" i="6"/>
  <c r="I119" i="6"/>
  <c r="J119" i="6"/>
  <c r="K119" i="6"/>
  <c r="L119" i="6"/>
  <c r="M119" i="6"/>
  <c r="N119" i="6"/>
  <c r="O119" i="6"/>
  <c r="P119" i="6"/>
  <c r="Q119" i="6"/>
  <c r="R119" i="6"/>
  <c r="S119" i="6"/>
  <c r="B120" i="6"/>
  <c r="C120" i="6"/>
  <c r="D120" i="6"/>
  <c r="E120" i="6"/>
  <c r="F120" i="6"/>
  <c r="G120" i="6"/>
  <c r="H120" i="6"/>
  <c r="I120" i="6"/>
  <c r="J120" i="6"/>
  <c r="K120" i="6"/>
  <c r="L120" i="6"/>
  <c r="M120" i="6"/>
  <c r="N120" i="6"/>
  <c r="O120" i="6"/>
  <c r="P120" i="6"/>
  <c r="Q120" i="6"/>
  <c r="R120" i="6"/>
  <c r="S120" i="6"/>
  <c r="B121" i="6"/>
  <c r="C121" i="6"/>
  <c r="D121" i="6"/>
  <c r="E121" i="6"/>
  <c r="F121" i="6"/>
  <c r="G121" i="6"/>
  <c r="H121" i="6"/>
  <c r="I121" i="6"/>
  <c r="J121" i="6"/>
  <c r="K121" i="6"/>
  <c r="L121" i="6"/>
  <c r="M121" i="6"/>
  <c r="N121" i="6"/>
  <c r="O121" i="6"/>
  <c r="P121" i="6"/>
  <c r="Q121" i="6"/>
  <c r="R121" i="6"/>
  <c r="S121" i="6"/>
  <c r="B122" i="6"/>
  <c r="C122" i="6"/>
  <c r="D122" i="6"/>
  <c r="E122" i="6"/>
  <c r="F122" i="6"/>
  <c r="G122" i="6"/>
  <c r="H122" i="6"/>
  <c r="I122" i="6"/>
  <c r="J122" i="6"/>
  <c r="K122" i="6"/>
  <c r="L122" i="6"/>
  <c r="M122" i="6"/>
  <c r="N122" i="6"/>
  <c r="O122" i="6"/>
  <c r="P122" i="6"/>
  <c r="Q122" i="6"/>
  <c r="R122" i="6"/>
  <c r="S122" i="6"/>
  <c r="B123" i="6"/>
  <c r="C123" i="6"/>
  <c r="D123" i="6"/>
  <c r="E123" i="6"/>
  <c r="F123" i="6"/>
  <c r="G123" i="6"/>
  <c r="H123" i="6"/>
  <c r="I123" i="6"/>
  <c r="J123" i="6"/>
  <c r="K123" i="6"/>
  <c r="L123" i="6"/>
  <c r="M123" i="6"/>
  <c r="N123" i="6"/>
  <c r="O123" i="6"/>
  <c r="P123" i="6"/>
  <c r="Q123" i="6"/>
  <c r="R123" i="6"/>
  <c r="S123" i="6"/>
  <c r="B124" i="6"/>
  <c r="C124" i="6"/>
  <c r="D124" i="6"/>
  <c r="E124" i="6"/>
  <c r="F124" i="6"/>
  <c r="G124" i="6"/>
  <c r="H124" i="6"/>
  <c r="I124" i="6"/>
  <c r="J124" i="6"/>
  <c r="K124" i="6"/>
  <c r="L124" i="6"/>
  <c r="M124" i="6"/>
  <c r="N124" i="6"/>
  <c r="O124" i="6"/>
  <c r="P124" i="6"/>
  <c r="Q124" i="6"/>
  <c r="R124" i="6"/>
  <c r="S124" i="6"/>
  <c r="B125" i="6"/>
  <c r="C125" i="6"/>
  <c r="D125" i="6"/>
  <c r="E125" i="6"/>
  <c r="F125" i="6"/>
  <c r="G125" i="6"/>
  <c r="H125" i="6"/>
  <c r="I125" i="6"/>
  <c r="J125" i="6"/>
  <c r="K125" i="6"/>
  <c r="L125" i="6"/>
  <c r="M125" i="6"/>
  <c r="N125" i="6"/>
  <c r="O125" i="6"/>
  <c r="P125" i="6"/>
  <c r="Q125" i="6"/>
  <c r="R125" i="6"/>
  <c r="S125" i="6"/>
  <c r="B126" i="6"/>
  <c r="C126" i="6"/>
  <c r="D126" i="6"/>
  <c r="E126" i="6"/>
  <c r="F126" i="6"/>
  <c r="G126" i="6"/>
  <c r="H126" i="6"/>
  <c r="I126" i="6"/>
  <c r="J126" i="6"/>
  <c r="K126" i="6"/>
  <c r="L126" i="6"/>
  <c r="M126" i="6"/>
  <c r="N126" i="6"/>
  <c r="O126" i="6"/>
  <c r="P126" i="6"/>
  <c r="Q126" i="6"/>
  <c r="R126" i="6"/>
  <c r="S126" i="6"/>
  <c r="B127" i="6"/>
  <c r="C127" i="6"/>
  <c r="D127" i="6"/>
  <c r="E127" i="6"/>
  <c r="F127" i="6"/>
  <c r="G127" i="6"/>
  <c r="H127" i="6"/>
  <c r="I127" i="6"/>
  <c r="J127" i="6"/>
  <c r="K127" i="6"/>
  <c r="L127" i="6"/>
  <c r="M127" i="6"/>
  <c r="N127" i="6"/>
  <c r="O127" i="6"/>
  <c r="P127" i="6"/>
  <c r="Q127" i="6"/>
  <c r="R127" i="6"/>
  <c r="S127" i="6"/>
  <c r="B128" i="6"/>
  <c r="C128" i="6"/>
  <c r="D128" i="6"/>
  <c r="E128" i="6"/>
  <c r="F128" i="6"/>
  <c r="G128" i="6"/>
  <c r="H128" i="6"/>
  <c r="I128" i="6"/>
  <c r="J128" i="6"/>
  <c r="K128" i="6"/>
  <c r="L128" i="6"/>
  <c r="M128" i="6"/>
  <c r="N128" i="6"/>
  <c r="O128" i="6"/>
  <c r="P128" i="6"/>
  <c r="Q128" i="6"/>
  <c r="R128" i="6"/>
  <c r="S128" i="6"/>
  <c r="B129" i="6"/>
  <c r="C129" i="6"/>
  <c r="D129" i="6"/>
  <c r="E129" i="6"/>
  <c r="F129" i="6"/>
  <c r="G129" i="6"/>
  <c r="H129" i="6"/>
  <c r="I129" i="6"/>
  <c r="J129" i="6"/>
  <c r="K129" i="6"/>
  <c r="L129" i="6"/>
  <c r="M129" i="6"/>
  <c r="N129" i="6"/>
  <c r="O129" i="6"/>
  <c r="P129" i="6"/>
  <c r="Q129" i="6"/>
  <c r="R129" i="6"/>
  <c r="S129" i="6"/>
  <c r="V97" i="6"/>
  <c r="T97" i="6"/>
  <c r="S97" i="6"/>
  <c r="R97" i="6"/>
  <c r="Q97" i="6"/>
  <c r="P97" i="6"/>
  <c r="O97" i="6"/>
  <c r="N97" i="6"/>
  <c r="M97" i="6"/>
  <c r="L97" i="6"/>
  <c r="K97" i="6"/>
  <c r="J97" i="6"/>
  <c r="I97" i="6"/>
  <c r="H97" i="6"/>
  <c r="G97" i="6"/>
  <c r="F97" i="6"/>
  <c r="E97" i="6"/>
  <c r="D97" i="6"/>
  <c r="C97" i="6"/>
  <c r="B97" i="6"/>
  <c r="J52" i="1"/>
  <c r="I50" i="1" l="1"/>
  <c r="I49" i="1"/>
  <c r="J49" i="1" s="1"/>
  <c r="I48" i="1"/>
  <c r="J50" i="1"/>
  <c r="J48" i="1"/>
  <c r="I22" i="7"/>
  <c r="F22" i="7"/>
  <c r="I21" i="7"/>
  <c r="F21" i="7"/>
  <c r="C100" i="3"/>
  <c r="C97" i="3"/>
  <c r="AE24" i="7"/>
  <c r="AE23" i="7"/>
  <c r="AH22" i="7"/>
  <c r="AI9" i="7"/>
  <c r="BV17" i="7"/>
  <c r="BU17" i="7"/>
  <c r="BT17" i="7"/>
  <c r="BN17" i="7"/>
  <c r="BM17" i="7"/>
  <c r="BF17" i="7"/>
  <c r="BE17" i="7"/>
  <c r="AY17" i="7"/>
  <c r="AW17" i="7"/>
  <c r="AV17" i="7"/>
  <c r="AO17" i="7"/>
  <c r="AN17" i="7"/>
  <c r="AM17" i="7"/>
  <c r="AG17" i="7"/>
  <c r="AF17" i="7"/>
  <c r="X17" i="7"/>
  <c r="W17" i="7"/>
  <c r="R17" i="7"/>
  <c r="P17" i="7"/>
  <c r="O17" i="7"/>
  <c r="H17" i="7"/>
  <c r="G17" i="7"/>
  <c r="F17" i="7"/>
  <c r="BV16" i="7"/>
  <c r="BU16" i="7"/>
  <c r="BN16" i="7"/>
  <c r="BM16" i="7"/>
  <c r="BH16" i="7"/>
  <c r="BF16" i="7"/>
  <c r="BE16" i="7"/>
  <c r="AW16" i="7"/>
  <c r="AV16" i="7"/>
  <c r="AU16" i="7"/>
  <c r="AO16" i="7"/>
  <c r="AN16" i="7"/>
  <c r="AG16" i="7"/>
  <c r="AF16" i="7"/>
  <c r="Z16" i="7"/>
  <c r="X16" i="7"/>
  <c r="W16" i="7"/>
  <c r="P16" i="7"/>
  <c r="O16" i="7"/>
  <c r="N16" i="7"/>
  <c r="H16" i="7"/>
  <c r="G16" i="7"/>
  <c r="BV15" i="7"/>
  <c r="BU15" i="7"/>
  <c r="BP15" i="7"/>
  <c r="BN15" i="7"/>
  <c r="BM15" i="7"/>
  <c r="BF15" i="7"/>
  <c r="BE15" i="7"/>
  <c r="BD15" i="7"/>
  <c r="AW15" i="7"/>
  <c r="AV15" i="7"/>
  <c r="AO15" i="7"/>
  <c r="AN15" i="7"/>
  <c r="AI15" i="7"/>
  <c r="AG15" i="7"/>
  <c r="AF15" i="7"/>
  <c r="X15" i="7"/>
  <c r="W15" i="7"/>
  <c r="V15" i="7"/>
  <c r="P15" i="7"/>
  <c r="O15" i="7"/>
  <c r="H15" i="7"/>
  <c r="G15" i="7"/>
  <c r="BX14" i="7"/>
  <c r="BV14" i="7"/>
  <c r="BU14" i="7"/>
  <c r="BN14" i="7"/>
  <c r="BM14" i="7"/>
  <c r="BL14" i="7"/>
  <c r="BF14" i="7"/>
  <c r="BE14" i="7"/>
  <c r="AW14" i="7"/>
  <c r="AV14" i="7"/>
  <c r="AQ14" i="7"/>
  <c r="AO14" i="7"/>
  <c r="AN14" i="7"/>
  <c r="AG14" i="7"/>
  <c r="AF14" i="7"/>
  <c r="AE14" i="7"/>
  <c r="X14" i="7"/>
  <c r="W14" i="7"/>
  <c r="P14" i="7"/>
  <c r="O14" i="7"/>
  <c r="J14" i="7"/>
  <c r="H14" i="7"/>
  <c r="G14" i="7"/>
  <c r="BW13" i="7"/>
  <c r="BV13" i="7"/>
  <c r="BU13" i="7"/>
  <c r="BT13" i="7"/>
  <c r="BN13" i="7"/>
  <c r="BM13" i="7"/>
  <c r="BF13" i="7"/>
  <c r="BE13" i="7"/>
  <c r="AY13" i="7"/>
  <c r="AW13" i="7"/>
  <c r="AV13" i="7"/>
  <c r="AP13" i="7"/>
  <c r="AO13" i="7"/>
  <c r="AN13" i="7"/>
  <c r="AM13" i="7"/>
  <c r="AI13" i="7"/>
  <c r="AG13" i="7"/>
  <c r="AF13" i="7"/>
  <c r="X13" i="7"/>
  <c r="W13" i="7"/>
  <c r="R13" i="7"/>
  <c r="P13" i="7"/>
  <c r="O13" i="7"/>
  <c r="I13" i="7"/>
  <c r="H13" i="7"/>
  <c r="G13" i="7"/>
  <c r="F13" i="7"/>
  <c r="BV12" i="7"/>
  <c r="BU12" i="7"/>
  <c r="BN12" i="7"/>
  <c r="BM12" i="7"/>
  <c r="BH12" i="7"/>
  <c r="BF12" i="7"/>
  <c r="BE12" i="7"/>
  <c r="AX12" i="7"/>
  <c r="AW12" i="7"/>
  <c r="AV12" i="7"/>
  <c r="AU12" i="7"/>
  <c r="AO12" i="7"/>
  <c r="AN12" i="7"/>
  <c r="AI12" i="7"/>
  <c r="AG12" i="7"/>
  <c r="AF12" i="7"/>
  <c r="Z12" i="7"/>
  <c r="X12" i="7"/>
  <c r="W12" i="7"/>
  <c r="Q12" i="7"/>
  <c r="P12" i="7"/>
  <c r="O12" i="7"/>
  <c r="N12" i="7"/>
  <c r="H12" i="7"/>
  <c r="G12" i="7"/>
  <c r="BV11" i="7"/>
  <c r="BU11" i="7"/>
  <c r="BP11" i="7"/>
  <c r="BN11" i="7"/>
  <c r="BM11" i="7"/>
  <c r="BH11" i="7"/>
  <c r="BG11" i="7"/>
  <c r="BF11" i="7"/>
  <c r="BE11" i="7"/>
  <c r="BD11" i="7"/>
  <c r="AY11" i="7"/>
  <c r="AW11" i="7"/>
  <c r="AV11" i="7"/>
  <c r="AO11" i="7"/>
  <c r="AN11" i="7"/>
  <c r="AI11" i="7"/>
  <c r="AG11" i="7"/>
  <c r="AF11" i="7"/>
  <c r="Y11" i="7"/>
  <c r="X11" i="7"/>
  <c r="W11" i="7"/>
  <c r="V11" i="7"/>
  <c r="P11" i="7"/>
  <c r="O11" i="7"/>
  <c r="H11" i="7"/>
  <c r="G11" i="7"/>
  <c r="BX10" i="7"/>
  <c r="BV10" i="7"/>
  <c r="BU10" i="7"/>
  <c r="BO10" i="7"/>
  <c r="BN10" i="7"/>
  <c r="BM10" i="7"/>
  <c r="BL10" i="7"/>
  <c r="BF10" i="7"/>
  <c r="BE10" i="7"/>
  <c r="AY10" i="7"/>
  <c r="AW10" i="7"/>
  <c r="AV10" i="7"/>
  <c r="AQ10" i="7"/>
  <c r="AO10" i="7"/>
  <c r="AN10" i="7"/>
  <c r="AH10" i="7"/>
  <c r="AG10" i="7"/>
  <c r="AF10" i="7"/>
  <c r="AE10" i="7"/>
  <c r="X10" i="7"/>
  <c r="W10" i="7"/>
  <c r="R10" i="7"/>
  <c r="P10" i="7"/>
  <c r="O10" i="7"/>
  <c r="J10" i="7"/>
  <c r="H10" i="7"/>
  <c r="G10" i="7"/>
  <c r="F10" i="7"/>
  <c r="BX9" i="7"/>
  <c r="BW9" i="7"/>
  <c r="BV9" i="7"/>
  <c r="BU9" i="7"/>
  <c r="G62" i="4" s="1"/>
  <c r="BT9" i="7"/>
  <c r="BP9" i="7"/>
  <c r="BN9" i="7"/>
  <c r="BM9" i="7"/>
  <c r="BF9" i="7"/>
  <c r="BE9" i="7"/>
  <c r="BD9" i="7"/>
  <c r="AY9" i="7"/>
  <c r="AW9" i="7"/>
  <c r="AV9" i="7"/>
  <c r="AQ9" i="7"/>
  <c r="AP9" i="7"/>
  <c r="AO9" i="7"/>
  <c r="AN9" i="7"/>
  <c r="AM9" i="7"/>
  <c r="AG9" i="7"/>
  <c r="AF9" i="7"/>
  <c r="X9" i="7"/>
  <c r="W9" i="7"/>
  <c r="R9" i="7"/>
  <c r="P9" i="7"/>
  <c r="O9" i="7"/>
  <c r="J9" i="7"/>
  <c r="I9" i="7"/>
  <c r="H9" i="7"/>
  <c r="G9" i="7"/>
  <c r="F9" i="7"/>
  <c r="BV8" i="7"/>
  <c r="BU8" i="7"/>
  <c r="BT8" i="7"/>
  <c r="BP8" i="7"/>
  <c r="BN8" i="7"/>
  <c r="BM8" i="7"/>
  <c r="BL8" i="7"/>
  <c r="BH8" i="7"/>
  <c r="BF8" i="7"/>
  <c r="BE8" i="7"/>
  <c r="BD8" i="7"/>
  <c r="AY8" i="7"/>
  <c r="AW8" i="7"/>
  <c r="AV8" i="7"/>
  <c r="AU8" i="7"/>
  <c r="AO8" i="7"/>
  <c r="AN8" i="7"/>
  <c r="AM8" i="7"/>
  <c r="AI8" i="7"/>
  <c r="AG8" i="7"/>
  <c r="AF8" i="7"/>
  <c r="AE8" i="7"/>
  <c r="Z8" i="7"/>
  <c r="X8" i="7"/>
  <c r="W8" i="7"/>
  <c r="V8" i="7"/>
  <c r="R8" i="7"/>
  <c r="P8" i="7"/>
  <c r="O8" i="7"/>
  <c r="N8" i="7"/>
  <c r="H8" i="7"/>
  <c r="G8" i="7"/>
  <c r="F8" i="7"/>
  <c r="BX7" i="7"/>
  <c r="BV7" i="7"/>
  <c r="BU7" i="7"/>
  <c r="BT7" i="7"/>
  <c r="BP7" i="7"/>
  <c r="BN7" i="7"/>
  <c r="BM7" i="7"/>
  <c r="BL7" i="7"/>
  <c r="BH7" i="7"/>
  <c r="BF7" i="7"/>
  <c r="BE7" i="7"/>
  <c r="BD7" i="7"/>
  <c r="AW7" i="7"/>
  <c r="AV7" i="7"/>
  <c r="AU7" i="7"/>
  <c r="AQ7" i="7"/>
  <c r="AO7" i="7"/>
  <c r="AN7" i="7"/>
  <c r="AM7" i="7"/>
  <c r="AI7" i="7"/>
  <c r="AG7" i="7"/>
  <c r="AF7" i="7"/>
  <c r="AE7" i="7"/>
  <c r="Z7" i="7"/>
  <c r="X7" i="7"/>
  <c r="W7" i="7"/>
  <c r="V7" i="7"/>
  <c r="P7" i="7"/>
  <c r="O7" i="7"/>
  <c r="N7" i="7"/>
  <c r="J7" i="7"/>
  <c r="H7" i="7"/>
  <c r="G7" i="7"/>
  <c r="F7" i="7"/>
  <c r="BX6" i="7"/>
  <c r="BV6" i="7"/>
  <c r="BU6" i="7"/>
  <c r="BT6" i="7"/>
  <c r="BP6" i="7"/>
  <c r="BN6" i="7"/>
  <c r="BM6" i="7"/>
  <c r="BL6" i="7"/>
  <c r="BF6" i="7"/>
  <c r="BE6" i="7"/>
  <c r="BD6" i="7"/>
  <c r="AY6" i="7"/>
  <c r="AW6" i="7"/>
  <c r="AV6" i="7"/>
  <c r="AU6" i="7"/>
  <c r="AQ6" i="7"/>
  <c r="AO6" i="7"/>
  <c r="AN6" i="7"/>
  <c r="AM6" i="7"/>
  <c r="AI6" i="7"/>
  <c r="AG6" i="7"/>
  <c r="AF6" i="7"/>
  <c r="AE6" i="7"/>
  <c r="X6" i="7"/>
  <c r="W6" i="7"/>
  <c r="V6" i="7"/>
  <c r="R6" i="7"/>
  <c r="P6" i="7"/>
  <c r="O6" i="7"/>
  <c r="N6" i="7"/>
  <c r="J6" i="7"/>
  <c r="H6" i="7"/>
  <c r="G6" i="7"/>
  <c r="F6" i="7"/>
  <c r="BX17" i="7"/>
  <c r="BW17" i="7"/>
  <c r="BS17" i="7"/>
  <c r="BR17" i="7"/>
  <c r="BQ17" i="7"/>
  <c r="BP17" i="7"/>
  <c r="BO17" i="7"/>
  <c r="BL17" i="7"/>
  <c r="BK17" i="7"/>
  <c r="BJ17" i="7"/>
  <c r="BI17" i="7"/>
  <c r="BH17" i="7"/>
  <c r="BG17" i="7"/>
  <c r="BD17" i="7"/>
  <c r="BC17" i="7"/>
  <c r="BB17" i="7"/>
  <c r="BA17" i="7"/>
  <c r="AX17" i="7"/>
  <c r="AU17" i="7"/>
  <c r="AT17" i="7"/>
  <c r="AS17" i="7"/>
  <c r="AR17" i="7"/>
  <c r="AQ17" i="7"/>
  <c r="AP17" i="7"/>
  <c r="AL17" i="7"/>
  <c r="AK17" i="7"/>
  <c r="AJ17" i="7"/>
  <c r="AI17" i="7"/>
  <c r="AH17" i="7"/>
  <c r="AE17" i="7"/>
  <c r="AD17" i="7"/>
  <c r="AC17" i="7"/>
  <c r="AB17" i="7"/>
  <c r="Z17" i="7"/>
  <c r="Y17" i="7"/>
  <c r="V17" i="7"/>
  <c r="U17" i="7"/>
  <c r="T17" i="7"/>
  <c r="S17" i="7"/>
  <c r="Q17" i="7"/>
  <c r="N17" i="7"/>
  <c r="M17" i="7"/>
  <c r="L17" i="7"/>
  <c r="K17" i="7"/>
  <c r="J17" i="7"/>
  <c r="I17" i="7"/>
  <c r="E17" i="7"/>
  <c r="D17" i="7"/>
  <c r="C17" i="7"/>
  <c r="BX16" i="7"/>
  <c r="BW16" i="7"/>
  <c r="BT16" i="7"/>
  <c r="BS16" i="7"/>
  <c r="BR16" i="7"/>
  <c r="BQ16" i="7"/>
  <c r="BP16" i="7"/>
  <c r="BO16" i="7"/>
  <c r="BL16" i="7"/>
  <c r="BK16" i="7"/>
  <c r="BJ16" i="7"/>
  <c r="BI16" i="7"/>
  <c r="BG16" i="7"/>
  <c r="BD16" i="7"/>
  <c r="BC16" i="7"/>
  <c r="BB16" i="7"/>
  <c r="BA16" i="7"/>
  <c r="AY16" i="7"/>
  <c r="AX16" i="7"/>
  <c r="AT16" i="7"/>
  <c r="AS16" i="7"/>
  <c r="AR16" i="7"/>
  <c r="AQ16" i="7"/>
  <c r="AP16" i="7"/>
  <c r="AM16" i="7"/>
  <c r="AL16" i="7"/>
  <c r="AK16" i="7"/>
  <c r="AJ16" i="7"/>
  <c r="AI16" i="7"/>
  <c r="AH16" i="7"/>
  <c r="AE16" i="7"/>
  <c r="AD16" i="7"/>
  <c r="AC16" i="7"/>
  <c r="AB16" i="7"/>
  <c r="Y16" i="7"/>
  <c r="V16" i="7"/>
  <c r="U16" i="7"/>
  <c r="T16" i="7"/>
  <c r="S16" i="7"/>
  <c r="R16" i="7"/>
  <c r="Q16" i="7"/>
  <c r="M16" i="7"/>
  <c r="L16" i="7"/>
  <c r="K16" i="7"/>
  <c r="J16" i="7"/>
  <c r="I16" i="7"/>
  <c r="F16" i="7"/>
  <c r="E16" i="7"/>
  <c r="D16" i="7"/>
  <c r="C16" i="7"/>
  <c r="BX15" i="7"/>
  <c r="BW15" i="7"/>
  <c r="BT15" i="7"/>
  <c r="BS15" i="7"/>
  <c r="BR15" i="7"/>
  <c r="BQ15" i="7"/>
  <c r="BO15" i="7"/>
  <c r="BL15" i="7"/>
  <c r="BK15" i="7"/>
  <c r="BJ15" i="7"/>
  <c r="BI15" i="7"/>
  <c r="BH15" i="7"/>
  <c r="BG15" i="7"/>
  <c r="BC15" i="7"/>
  <c r="BB15" i="7"/>
  <c r="BA15" i="7"/>
  <c r="AY15" i="7"/>
  <c r="AX15" i="7"/>
  <c r="AU15" i="7"/>
  <c r="AT15" i="7"/>
  <c r="AS15" i="7"/>
  <c r="AR15" i="7"/>
  <c r="AQ15" i="7"/>
  <c r="AP15" i="7"/>
  <c r="AM15" i="7"/>
  <c r="AL15" i="7"/>
  <c r="AK15" i="7"/>
  <c r="AJ15" i="7"/>
  <c r="AH15" i="7"/>
  <c r="AE15" i="7"/>
  <c r="AD15" i="7"/>
  <c r="AC15" i="7"/>
  <c r="AB15" i="7"/>
  <c r="Z15" i="7"/>
  <c r="Y15" i="7"/>
  <c r="U15" i="7"/>
  <c r="T15" i="7"/>
  <c r="S15" i="7"/>
  <c r="R15" i="7"/>
  <c r="Q15" i="7"/>
  <c r="N15" i="7"/>
  <c r="M15" i="7"/>
  <c r="L15" i="7"/>
  <c r="K15" i="7"/>
  <c r="J15" i="7"/>
  <c r="I15" i="7"/>
  <c r="F15" i="7"/>
  <c r="E15" i="7"/>
  <c r="D15" i="7"/>
  <c r="C15" i="7"/>
  <c r="BW14" i="7"/>
  <c r="BT14" i="7"/>
  <c r="BS14" i="7"/>
  <c r="BR14" i="7"/>
  <c r="G67" i="4" s="1"/>
  <c r="BQ14" i="7"/>
  <c r="BP14" i="7"/>
  <c r="BO14" i="7"/>
  <c r="BK14" i="7"/>
  <c r="BJ14" i="7"/>
  <c r="BI14" i="7"/>
  <c r="BH14" i="7"/>
  <c r="BG14" i="7"/>
  <c r="BD14" i="7"/>
  <c r="BC14" i="7"/>
  <c r="BB14" i="7"/>
  <c r="BA14" i="7"/>
  <c r="AY14" i="7"/>
  <c r="AX14" i="7"/>
  <c r="AU14" i="7"/>
  <c r="AT14" i="7"/>
  <c r="AS14" i="7"/>
  <c r="AR14" i="7"/>
  <c r="AP14" i="7"/>
  <c r="AM14" i="7"/>
  <c r="AL14" i="7"/>
  <c r="AK14" i="7"/>
  <c r="AJ14" i="7"/>
  <c r="AI14" i="7"/>
  <c r="AH14" i="7"/>
  <c r="AD14" i="7"/>
  <c r="AC14" i="7"/>
  <c r="AB14" i="7"/>
  <c r="Z14" i="7"/>
  <c r="Y14" i="7"/>
  <c r="V14" i="7"/>
  <c r="U14" i="7"/>
  <c r="T14" i="7"/>
  <c r="S14" i="7"/>
  <c r="R14" i="7"/>
  <c r="Q14" i="7"/>
  <c r="N14" i="7"/>
  <c r="M14" i="7"/>
  <c r="L14" i="7"/>
  <c r="K14" i="7"/>
  <c r="I14" i="7"/>
  <c r="F14" i="7"/>
  <c r="E14" i="7"/>
  <c r="D14" i="7"/>
  <c r="C14" i="7"/>
  <c r="BX13" i="7"/>
  <c r="BS13" i="7"/>
  <c r="BR13" i="7"/>
  <c r="BQ13" i="7"/>
  <c r="BP13" i="7"/>
  <c r="BO13" i="7"/>
  <c r="BL13" i="7"/>
  <c r="BK13" i="7"/>
  <c r="BJ13" i="7"/>
  <c r="BI13" i="7"/>
  <c r="BH13" i="7"/>
  <c r="BG13" i="7"/>
  <c r="BD13" i="7"/>
  <c r="BC13" i="7"/>
  <c r="BB13" i="7"/>
  <c r="BA13" i="7"/>
  <c r="AX13" i="7"/>
  <c r="AU13" i="7"/>
  <c r="AT13" i="7"/>
  <c r="AS13" i="7"/>
  <c r="AR13" i="7"/>
  <c r="AQ13" i="7"/>
  <c r="AL13" i="7"/>
  <c r="AK13" i="7"/>
  <c r="AJ13" i="7"/>
  <c r="AH13" i="7"/>
  <c r="AE13" i="7"/>
  <c r="AD13" i="7"/>
  <c r="AC13" i="7"/>
  <c r="AB13" i="7"/>
  <c r="Z13" i="7"/>
  <c r="Y13" i="7"/>
  <c r="V13" i="7"/>
  <c r="U13" i="7"/>
  <c r="T13" i="7"/>
  <c r="S13" i="7"/>
  <c r="Q13" i="7"/>
  <c r="N13" i="7"/>
  <c r="M13" i="7"/>
  <c r="L13" i="7"/>
  <c r="K13" i="7"/>
  <c r="J13" i="7"/>
  <c r="E13" i="7"/>
  <c r="D13" i="7"/>
  <c r="C13" i="7"/>
  <c r="BX12" i="7"/>
  <c r="BW12" i="7"/>
  <c r="BT12" i="7"/>
  <c r="BS12" i="7"/>
  <c r="BR12" i="7"/>
  <c r="BQ12" i="7"/>
  <c r="BP12" i="7"/>
  <c r="BO12" i="7"/>
  <c r="BL12" i="7"/>
  <c r="BK12" i="7"/>
  <c r="BJ12" i="7"/>
  <c r="BI12" i="7"/>
  <c r="BG12" i="7"/>
  <c r="BD12" i="7"/>
  <c r="BC12" i="7"/>
  <c r="BB12" i="7"/>
  <c r="BA12" i="7"/>
  <c r="AY12" i="7"/>
  <c r="AT12" i="7"/>
  <c r="AS12" i="7"/>
  <c r="AR12" i="7"/>
  <c r="AQ12" i="7"/>
  <c r="AP12" i="7"/>
  <c r="AM12" i="7"/>
  <c r="AL12" i="7"/>
  <c r="AK12" i="7"/>
  <c r="AJ12" i="7"/>
  <c r="AH12" i="7"/>
  <c r="AE12" i="7"/>
  <c r="AD12" i="7"/>
  <c r="AC12" i="7"/>
  <c r="AB12" i="7"/>
  <c r="Y12" i="7"/>
  <c r="V12" i="7"/>
  <c r="U12" i="7"/>
  <c r="T12" i="7"/>
  <c r="S12" i="7"/>
  <c r="E65" i="4" s="1"/>
  <c r="R12" i="7"/>
  <c r="M12" i="7"/>
  <c r="L12" i="7"/>
  <c r="K12" i="7"/>
  <c r="J12" i="7"/>
  <c r="I12" i="7"/>
  <c r="F12" i="7"/>
  <c r="E12" i="7"/>
  <c r="D12" i="7"/>
  <c r="C12" i="7"/>
  <c r="BX11" i="7"/>
  <c r="BW11" i="7"/>
  <c r="BT11" i="7"/>
  <c r="BS11" i="7"/>
  <c r="BR11" i="7"/>
  <c r="BQ11" i="7"/>
  <c r="BO11" i="7"/>
  <c r="BL11" i="7"/>
  <c r="BK11" i="7"/>
  <c r="BJ11" i="7"/>
  <c r="BI11" i="7"/>
  <c r="BC11" i="7"/>
  <c r="BB11" i="7"/>
  <c r="BA11" i="7"/>
  <c r="AX11" i="7"/>
  <c r="AU11" i="7"/>
  <c r="AT11" i="7"/>
  <c r="AS11" i="7"/>
  <c r="AR11" i="7"/>
  <c r="AQ11" i="7"/>
  <c r="AE21" i="7" s="1"/>
  <c r="AP11" i="7"/>
  <c r="AM11" i="7"/>
  <c r="AL11" i="7"/>
  <c r="AK11" i="7"/>
  <c r="AJ11" i="7"/>
  <c r="AH11" i="7"/>
  <c r="AE22" i="7" s="1"/>
  <c r="AE11" i="7"/>
  <c r="AD11" i="7"/>
  <c r="AC11" i="7"/>
  <c r="AB11" i="7"/>
  <c r="Z11" i="7"/>
  <c r="U11" i="7"/>
  <c r="T11" i="7"/>
  <c r="S11" i="7"/>
  <c r="R11" i="7"/>
  <c r="Q11" i="7"/>
  <c r="N11" i="7"/>
  <c r="M11" i="7"/>
  <c r="L11" i="7"/>
  <c r="K11" i="7"/>
  <c r="J11" i="7"/>
  <c r="I11" i="7"/>
  <c r="F11" i="7"/>
  <c r="E11" i="7"/>
  <c r="D11" i="7"/>
  <c r="C11" i="7"/>
  <c r="BW10" i="7"/>
  <c r="BT10" i="7"/>
  <c r="BS10" i="7"/>
  <c r="BR10" i="7"/>
  <c r="BQ10" i="7"/>
  <c r="BP10" i="7"/>
  <c r="BK10" i="7"/>
  <c r="BJ10" i="7"/>
  <c r="BI10" i="7"/>
  <c r="BH10" i="7"/>
  <c r="BG10" i="7"/>
  <c r="BD10" i="7"/>
  <c r="BC10" i="7"/>
  <c r="BB10" i="7"/>
  <c r="BA10" i="7"/>
  <c r="AX10" i="7"/>
  <c r="AU10" i="7"/>
  <c r="AT10" i="7"/>
  <c r="AS10" i="7"/>
  <c r="AR10" i="7"/>
  <c r="AP10" i="7"/>
  <c r="AM10" i="7"/>
  <c r="AL10" i="7"/>
  <c r="AK10" i="7"/>
  <c r="AJ10" i="7"/>
  <c r="AI10" i="7"/>
  <c r="AD10" i="7"/>
  <c r="AC10" i="7"/>
  <c r="AB10" i="7"/>
  <c r="Z10" i="7"/>
  <c r="Y10" i="7"/>
  <c r="V10" i="7"/>
  <c r="U10" i="7"/>
  <c r="T10" i="7"/>
  <c r="S10" i="7"/>
  <c r="Q10" i="7"/>
  <c r="N10" i="7"/>
  <c r="M10" i="7"/>
  <c r="L10" i="7"/>
  <c r="K10" i="7"/>
  <c r="I10" i="7"/>
  <c r="E10" i="7"/>
  <c r="D10" i="7"/>
  <c r="C10" i="7"/>
  <c r="BS9" i="7"/>
  <c r="BR9" i="7"/>
  <c r="BQ9" i="7"/>
  <c r="BO9" i="7"/>
  <c r="BL9" i="7"/>
  <c r="BK9" i="7"/>
  <c r="BJ9" i="7"/>
  <c r="BI9" i="7"/>
  <c r="BH9" i="7"/>
  <c r="BG9" i="7"/>
  <c r="BC9" i="7"/>
  <c r="BB9" i="7"/>
  <c r="BA9" i="7"/>
  <c r="AX9" i="7"/>
  <c r="AU9" i="7"/>
  <c r="AT9" i="7"/>
  <c r="AS9" i="7"/>
  <c r="AR9" i="7"/>
  <c r="AL9" i="7"/>
  <c r="AK9" i="7"/>
  <c r="AJ9" i="7"/>
  <c r="AH9" i="7"/>
  <c r="AE9" i="7"/>
  <c r="AD9" i="7"/>
  <c r="AC9" i="7"/>
  <c r="AB9" i="7"/>
  <c r="Z9" i="7"/>
  <c r="Y9" i="7"/>
  <c r="V9" i="7"/>
  <c r="U9" i="7"/>
  <c r="T9" i="7"/>
  <c r="S9" i="7"/>
  <c r="Q9" i="7"/>
  <c r="N9" i="7"/>
  <c r="M9" i="7"/>
  <c r="L9" i="7"/>
  <c r="K9" i="7"/>
  <c r="E9" i="7"/>
  <c r="D9" i="7"/>
  <c r="C9" i="7"/>
  <c r="BX8" i="7"/>
  <c r="BW8" i="7"/>
  <c r="BS8" i="7"/>
  <c r="BR8" i="7"/>
  <c r="BQ8" i="7"/>
  <c r="BO8" i="7"/>
  <c r="BK8" i="7"/>
  <c r="BJ8" i="7"/>
  <c r="BI8" i="7"/>
  <c r="BG8" i="7"/>
  <c r="BC8" i="7"/>
  <c r="BB8" i="7"/>
  <c r="BA8" i="7"/>
  <c r="AX8" i="7"/>
  <c r="AT8" i="7"/>
  <c r="AS8" i="7"/>
  <c r="AR8" i="7"/>
  <c r="AQ8" i="7"/>
  <c r="AP8" i="7"/>
  <c r="AL8" i="7"/>
  <c r="AK8" i="7"/>
  <c r="AJ8" i="7"/>
  <c r="AH8" i="7"/>
  <c r="AD8" i="7"/>
  <c r="AC8" i="7"/>
  <c r="AB8" i="7"/>
  <c r="Y8" i="7"/>
  <c r="U8" i="7"/>
  <c r="T8" i="7"/>
  <c r="S8" i="7"/>
  <c r="Q8" i="7"/>
  <c r="M8" i="7"/>
  <c r="L8" i="7"/>
  <c r="K8" i="7"/>
  <c r="J8" i="7"/>
  <c r="I8" i="7"/>
  <c r="E8" i="7"/>
  <c r="D8" i="7"/>
  <c r="C8" i="7"/>
  <c r="BW7" i="7"/>
  <c r="BS7" i="7"/>
  <c r="BR7" i="7"/>
  <c r="BQ7" i="7"/>
  <c r="BO7" i="7"/>
  <c r="BK7" i="7"/>
  <c r="BJ7" i="7"/>
  <c r="BI7" i="7"/>
  <c r="BG7" i="7"/>
  <c r="BC7" i="7"/>
  <c r="BB7" i="7"/>
  <c r="BA7" i="7"/>
  <c r="AY7" i="7"/>
  <c r="AX7" i="7"/>
  <c r="AT7" i="7"/>
  <c r="AS7" i="7"/>
  <c r="AR7" i="7"/>
  <c r="AP7" i="7"/>
  <c r="AL7" i="7"/>
  <c r="AK7" i="7"/>
  <c r="AJ7" i="7"/>
  <c r="AH7" i="7"/>
  <c r="AD7" i="7"/>
  <c r="AC7" i="7"/>
  <c r="AB7" i="7"/>
  <c r="Y7" i="7"/>
  <c r="U7" i="7"/>
  <c r="T7" i="7"/>
  <c r="S7" i="7"/>
  <c r="R7" i="7"/>
  <c r="Q7" i="7"/>
  <c r="M7" i="7"/>
  <c r="L7" i="7"/>
  <c r="K7" i="7"/>
  <c r="I7" i="7"/>
  <c r="E7" i="7"/>
  <c r="D7" i="7"/>
  <c r="C7" i="7"/>
  <c r="BW6" i="7"/>
  <c r="BS6" i="7"/>
  <c r="BR6" i="7"/>
  <c r="BQ6" i="7"/>
  <c r="BO6" i="7"/>
  <c r="BK6" i="7"/>
  <c r="BJ6" i="7"/>
  <c r="BI6" i="7"/>
  <c r="BH6" i="7"/>
  <c r="BG6" i="7"/>
  <c r="BC6" i="7"/>
  <c r="BB6" i="7"/>
  <c r="BA6" i="7"/>
  <c r="AX6" i="7"/>
  <c r="AT6" i="7"/>
  <c r="AS6" i="7"/>
  <c r="F59" i="4" s="1"/>
  <c r="AR6" i="7"/>
  <c r="AH21" i="7" s="1"/>
  <c r="AP6" i="7"/>
  <c r="AL6" i="7"/>
  <c r="AK6" i="7"/>
  <c r="AJ6" i="7"/>
  <c r="AH6" i="7"/>
  <c r="AD6" i="7"/>
  <c r="AC6" i="7"/>
  <c r="AB6" i="7"/>
  <c r="Z6" i="7"/>
  <c r="Y6" i="7"/>
  <c r="U6" i="7"/>
  <c r="T6" i="7"/>
  <c r="S6" i="7"/>
  <c r="Q6" i="7"/>
  <c r="M6" i="7"/>
  <c r="L6" i="7"/>
  <c r="K6" i="7"/>
  <c r="I6" i="7"/>
  <c r="E6" i="7"/>
  <c r="D6" i="7"/>
  <c r="C6" i="7"/>
  <c r="I59" i="4" s="1"/>
  <c r="X94" i="6"/>
  <c r="W94" i="6"/>
  <c r="T94" i="6"/>
  <c r="Y94" i="6"/>
  <c r="Y93" i="6"/>
  <c r="X93" i="6"/>
  <c r="T93" i="6"/>
  <c r="W93" i="6"/>
  <c r="V93" i="6"/>
  <c r="W92" i="6"/>
  <c r="Y92" i="6"/>
  <c r="T92" i="6"/>
  <c r="X91" i="6"/>
  <c r="W91" i="6"/>
  <c r="U91" i="6"/>
  <c r="T91" i="6"/>
  <c r="X90" i="6"/>
  <c r="W90" i="6"/>
  <c r="T90" i="6"/>
  <c r="Y90" i="6"/>
  <c r="Y89" i="6"/>
  <c r="T89" i="6"/>
  <c r="X89" i="6"/>
  <c r="W89" i="6"/>
  <c r="V89" i="6"/>
  <c r="W88" i="6"/>
  <c r="Y88" i="6"/>
  <c r="T88" i="6"/>
  <c r="X87" i="6"/>
  <c r="W87" i="6"/>
  <c r="Y87" i="6"/>
  <c r="U87" i="6"/>
  <c r="T87" i="6"/>
  <c r="X86" i="6"/>
  <c r="W86" i="6"/>
  <c r="T86" i="6"/>
  <c r="Y86" i="6"/>
  <c r="T85" i="6"/>
  <c r="X85" i="6"/>
  <c r="W85" i="6"/>
  <c r="Y85" i="6"/>
  <c r="V85" i="6"/>
  <c r="W84" i="6"/>
  <c r="Y84" i="6"/>
  <c r="T84" i="6"/>
  <c r="X83" i="6"/>
  <c r="W83" i="6"/>
  <c r="Y83" i="6"/>
  <c r="U83" i="6"/>
  <c r="X82" i="6"/>
  <c r="W82" i="6"/>
  <c r="T82" i="6"/>
  <c r="Y82" i="6"/>
  <c r="X81" i="6"/>
  <c r="T81" i="6"/>
  <c r="W81" i="6"/>
  <c r="Y81" i="6"/>
  <c r="V81" i="6"/>
  <c r="W80" i="6"/>
  <c r="T80" i="6"/>
  <c r="X80" i="6"/>
  <c r="Y80" i="6"/>
  <c r="V80" i="6"/>
  <c r="X79" i="6"/>
  <c r="W79" i="6"/>
  <c r="U79" i="6"/>
  <c r="X78" i="6"/>
  <c r="W78" i="6"/>
  <c r="T78" i="6"/>
  <c r="Y78" i="6"/>
  <c r="Y77" i="6"/>
  <c r="X77" i="6"/>
  <c r="T77" i="6"/>
  <c r="W77" i="6"/>
  <c r="V77" i="6"/>
  <c r="W76" i="6"/>
  <c r="Y76" i="6"/>
  <c r="T76" i="6"/>
  <c r="X75" i="6"/>
  <c r="W75" i="6"/>
  <c r="U75" i="6"/>
  <c r="T75" i="6"/>
  <c r="X74" i="6"/>
  <c r="W74" i="6"/>
  <c r="T74" i="6"/>
  <c r="Y74" i="6"/>
  <c r="Y73" i="6"/>
  <c r="T73" i="6"/>
  <c r="X73" i="6"/>
  <c r="W73" i="6"/>
  <c r="V73" i="6"/>
  <c r="W72" i="6"/>
  <c r="Y72" i="6"/>
  <c r="T72" i="6"/>
  <c r="X71" i="6"/>
  <c r="W71" i="6"/>
  <c r="Y71" i="6"/>
  <c r="U71" i="6"/>
  <c r="T71" i="6"/>
  <c r="X70" i="6"/>
  <c r="W70" i="6"/>
  <c r="T70" i="6"/>
  <c r="Y70" i="6"/>
  <c r="T69" i="6"/>
  <c r="P13" i="6"/>
  <c r="X69" i="6"/>
  <c r="W69" i="6"/>
  <c r="Y69" i="6"/>
  <c r="V69" i="6"/>
  <c r="W68" i="6"/>
  <c r="Y68" i="6"/>
  <c r="T68" i="6"/>
  <c r="X67" i="6"/>
  <c r="W67" i="6"/>
  <c r="Y67" i="6"/>
  <c r="U67" i="6"/>
  <c r="X66" i="6"/>
  <c r="W66" i="6"/>
  <c r="T66" i="6"/>
  <c r="Y66" i="6"/>
  <c r="Y65" i="6"/>
  <c r="X65" i="6"/>
  <c r="T65" i="6"/>
  <c r="W65" i="6"/>
  <c r="V65" i="6"/>
  <c r="T64" i="6"/>
  <c r="R64" i="6"/>
  <c r="S64" i="6" s="1"/>
  <c r="L64" i="6"/>
  <c r="W64" i="6"/>
  <c r="G64" i="6"/>
  <c r="F64" i="6"/>
  <c r="X58" i="6"/>
  <c r="W58" i="6"/>
  <c r="T58" i="6"/>
  <c r="Y58" i="6"/>
  <c r="Y57" i="6"/>
  <c r="X57" i="6"/>
  <c r="T57" i="6"/>
  <c r="W57" i="6"/>
  <c r="V57" i="6"/>
  <c r="W56" i="6"/>
  <c r="Y56" i="6"/>
  <c r="T56" i="6"/>
  <c r="X55" i="6"/>
  <c r="W55" i="6"/>
  <c r="Y55" i="6"/>
  <c r="U55" i="6"/>
  <c r="X54" i="6"/>
  <c r="W54" i="6"/>
  <c r="T54" i="6"/>
  <c r="Y54" i="6"/>
  <c r="T53" i="6"/>
  <c r="X53" i="6"/>
  <c r="Y53" i="6"/>
  <c r="W53" i="6"/>
  <c r="V53" i="6"/>
  <c r="W52" i="6"/>
  <c r="U52" i="6"/>
  <c r="T52" i="6"/>
  <c r="T51" i="6"/>
  <c r="Y51" i="6"/>
  <c r="X51" i="6"/>
  <c r="U51" i="6"/>
  <c r="V51" i="6"/>
  <c r="Y50" i="6"/>
  <c r="X50" i="6"/>
  <c r="T50" i="6"/>
  <c r="U50" i="6"/>
  <c r="X49" i="6"/>
  <c r="W49" i="6"/>
  <c r="Y49" i="6"/>
  <c r="X48" i="6"/>
  <c r="W48" i="6"/>
  <c r="Y48" i="6"/>
  <c r="T48" i="6"/>
  <c r="Y47" i="6"/>
  <c r="W47" i="6"/>
  <c r="V47" i="6"/>
  <c r="T47" i="6"/>
  <c r="W46" i="6"/>
  <c r="V46" i="6"/>
  <c r="U46" i="6"/>
  <c r="Y46" i="6"/>
  <c r="T46" i="6"/>
  <c r="V45" i="6"/>
  <c r="U45" i="6"/>
  <c r="Y45" i="6"/>
  <c r="W45" i="6"/>
  <c r="T45" i="6"/>
  <c r="W44" i="6"/>
  <c r="V44" i="6"/>
  <c r="U44" i="6"/>
  <c r="Y44" i="6"/>
  <c r="X44" i="6"/>
  <c r="V43" i="6"/>
  <c r="U43" i="6"/>
  <c r="Y43" i="6"/>
  <c r="X43" i="6"/>
  <c r="W43" i="6"/>
  <c r="V42" i="6"/>
  <c r="U42" i="6"/>
  <c r="Y42" i="6"/>
  <c r="W42" i="6"/>
  <c r="T42" i="6"/>
  <c r="V41" i="6"/>
  <c r="U41" i="6"/>
  <c r="Y41" i="6"/>
  <c r="W41" i="6"/>
  <c r="T41" i="6"/>
  <c r="W40" i="6"/>
  <c r="V40" i="6"/>
  <c r="U40" i="6"/>
  <c r="Y40" i="6"/>
  <c r="X40" i="6"/>
  <c r="V39" i="6"/>
  <c r="U39" i="6"/>
  <c r="Y39" i="6"/>
  <c r="X39" i="6"/>
  <c r="W39" i="6"/>
  <c r="V38" i="6"/>
  <c r="U38" i="6"/>
  <c r="Y38" i="6"/>
  <c r="W38" i="6"/>
  <c r="T38" i="6"/>
  <c r="V37" i="6"/>
  <c r="P17" i="6"/>
  <c r="O17" i="6"/>
  <c r="Y37" i="6"/>
  <c r="W37" i="6"/>
  <c r="T37" i="6"/>
  <c r="W36" i="6"/>
  <c r="V36" i="6"/>
  <c r="P16" i="6"/>
  <c r="Y36" i="6"/>
  <c r="X36" i="6"/>
  <c r="N16" i="6"/>
  <c r="V35" i="6"/>
  <c r="U35" i="6"/>
  <c r="P15" i="6"/>
  <c r="Y35" i="6"/>
  <c r="X35" i="6"/>
  <c r="W35" i="6"/>
  <c r="N15" i="6"/>
  <c r="E14" i="6"/>
  <c r="P14" i="6"/>
  <c r="V34" i="6"/>
  <c r="Y34" i="6"/>
  <c r="W34" i="6"/>
  <c r="U34" i="6"/>
  <c r="T34" i="6"/>
  <c r="V33" i="6"/>
  <c r="O13" i="6"/>
  <c r="Y33" i="6"/>
  <c r="W33" i="6"/>
  <c r="N13" i="6"/>
  <c r="T33" i="6"/>
  <c r="W32" i="6"/>
  <c r="V32" i="6"/>
  <c r="O12" i="6"/>
  <c r="Y32" i="6"/>
  <c r="X32" i="6"/>
  <c r="V31" i="6"/>
  <c r="U31" i="6"/>
  <c r="O11" i="6"/>
  <c r="Y31" i="6"/>
  <c r="X31" i="6"/>
  <c r="W31" i="6"/>
  <c r="P10" i="6"/>
  <c r="V30" i="6"/>
  <c r="O10" i="6"/>
  <c r="Y30" i="6"/>
  <c r="W30" i="6"/>
  <c r="U30" i="6"/>
  <c r="T30" i="6"/>
  <c r="V29" i="6"/>
  <c r="P9" i="6"/>
  <c r="O9" i="6"/>
  <c r="Y29" i="6"/>
  <c r="W29" i="6"/>
  <c r="N9" i="6"/>
  <c r="T29" i="6"/>
  <c r="W28" i="6"/>
  <c r="R28" i="6"/>
  <c r="P8" i="6"/>
  <c r="M28" i="6"/>
  <c r="L28" i="6"/>
  <c r="V28" i="6"/>
  <c r="F28" i="6"/>
  <c r="U28" i="6"/>
  <c r="N17" i="6"/>
  <c r="I17" i="6"/>
  <c r="E17" i="6"/>
  <c r="O16" i="6"/>
  <c r="J16" i="6"/>
  <c r="L13" i="3" s="1"/>
  <c r="E16" i="6"/>
  <c r="L8" i="3" s="1"/>
  <c r="O15" i="6"/>
  <c r="J15" i="6"/>
  <c r="K13" i="3" s="1"/>
  <c r="E15" i="6"/>
  <c r="O14" i="6"/>
  <c r="J14" i="6"/>
  <c r="K13" i="6"/>
  <c r="E13" i="6"/>
  <c r="I8" i="3" s="1"/>
  <c r="P12" i="6"/>
  <c r="K12" i="6"/>
  <c r="H14" i="3" s="1"/>
  <c r="J12" i="6"/>
  <c r="H13" i="3" s="1"/>
  <c r="E12" i="6"/>
  <c r="P11" i="6"/>
  <c r="N11" i="6"/>
  <c r="K11" i="6"/>
  <c r="J11" i="6"/>
  <c r="G13" i="3" s="1"/>
  <c r="E11" i="6"/>
  <c r="G8" i="3" s="1"/>
  <c r="N10" i="6"/>
  <c r="J10" i="6"/>
  <c r="F13" i="3" s="1"/>
  <c r="E9" i="6"/>
  <c r="O8" i="6"/>
  <c r="J8" i="6"/>
  <c r="O7" i="6"/>
  <c r="D16" i="6"/>
  <c r="E177" i="5"/>
  <c r="G177" i="5" s="1"/>
  <c r="H177" i="5" s="1"/>
  <c r="I177" i="5" s="1"/>
  <c r="J177" i="5" s="1"/>
  <c r="K177" i="5" s="1"/>
  <c r="L177" i="5" s="1"/>
  <c r="E176" i="5"/>
  <c r="G176" i="5" s="1"/>
  <c r="H176" i="5" s="1"/>
  <c r="I176" i="5" s="1"/>
  <c r="J176" i="5" s="1"/>
  <c r="K176" i="5" s="1"/>
  <c r="L176" i="5" s="1"/>
  <c r="E175" i="5"/>
  <c r="G175" i="5" s="1"/>
  <c r="H175" i="5" s="1"/>
  <c r="I175" i="5" s="1"/>
  <c r="J175" i="5" s="1"/>
  <c r="K175" i="5" s="1"/>
  <c r="L175" i="5" s="1"/>
  <c r="E173" i="5"/>
  <c r="G173" i="5" s="1"/>
  <c r="H173" i="5" s="1"/>
  <c r="I173" i="5" s="1"/>
  <c r="J173" i="5" s="1"/>
  <c r="K173" i="5" s="1"/>
  <c r="L173" i="5" s="1"/>
  <c r="E172" i="5"/>
  <c r="G172" i="5" s="1"/>
  <c r="H172" i="5" s="1"/>
  <c r="I172" i="5" s="1"/>
  <c r="J172" i="5" s="1"/>
  <c r="K172" i="5" s="1"/>
  <c r="L172" i="5" s="1"/>
  <c r="G170" i="5"/>
  <c r="H170" i="5" s="1"/>
  <c r="I170" i="5" s="1"/>
  <c r="J170" i="5" s="1"/>
  <c r="K170" i="5" s="1"/>
  <c r="L170" i="5" s="1"/>
  <c r="E144" i="5"/>
  <c r="F144" i="5" s="1"/>
  <c r="G144" i="5" s="1"/>
  <c r="H144" i="5" s="1"/>
  <c r="I144" i="5" s="1"/>
  <c r="J144" i="5" s="1"/>
  <c r="K144" i="5" s="1"/>
  <c r="L144" i="5" s="1"/>
  <c r="E143" i="5"/>
  <c r="F143" i="5" s="1"/>
  <c r="G143" i="5" s="1"/>
  <c r="H143" i="5" s="1"/>
  <c r="I143" i="5" s="1"/>
  <c r="J143" i="5" s="1"/>
  <c r="K143" i="5" s="1"/>
  <c r="L143" i="5" s="1"/>
  <c r="E130" i="5"/>
  <c r="E146" i="5" s="1"/>
  <c r="F146" i="5" s="1"/>
  <c r="G146" i="5" s="1"/>
  <c r="H146" i="5" s="1"/>
  <c r="I146" i="5" s="1"/>
  <c r="J146" i="5" s="1"/>
  <c r="K146" i="5" s="1"/>
  <c r="L146" i="5" s="1"/>
  <c r="E129" i="5"/>
  <c r="E145" i="5" s="1"/>
  <c r="F145" i="5" s="1"/>
  <c r="G145" i="5" s="1"/>
  <c r="H145" i="5" s="1"/>
  <c r="I145" i="5" s="1"/>
  <c r="J145" i="5" s="1"/>
  <c r="K145" i="5" s="1"/>
  <c r="L145" i="5" s="1"/>
  <c r="E123" i="5"/>
  <c r="F123" i="5" s="1"/>
  <c r="G123" i="5" s="1"/>
  <c r="H123" i="5" s="1"/>
  <c r="I123" i="5" s="1"/>
  <c r="J123" i="5" s="1"/>
  <c r="K123" i="5" s="1"/>
  <c r="L123" i="5" s="1"/>
  <c r="E122" i="5"/>
  <c r="F122" i="5" s="1"/>
  <c r="G122" i="5" s="1"/>
  <c r="H122" i="5" s="1"/>
  <c r="I122" i="5" s="1"/>
  <c r="J122" i="5" s="1"/>
  <c r="K122" i="5" s="1"/>
  <c r="L122" i="5" s="1"/>
  <c r="E121" i="5"/>
  <c r="F121" i="5" s="1"/>
  <c r="E120" i="5"/>
  <c r="F120" i="5" s="1"/>
  <c r="G120" i="5" s="1"/>
  <c r="H120" i="5" s="1"/>
  <c r="I120" i="5" s="1"/>
  <c r="J120" i="5" s="1"/>
  <c r="K120" i="5" s="1"/>
  <c r="L120" i="5" s="1"/>
  <c r="E119" i="5"/>
  <c r="F119" i="5" s="1"/>
  <c r="G119" i="5" s="1"/>
  <c r="H119" i="5" s="1"/>
  <c r="I119" i="5" s="1"/>
  <c r="J119" i="5" s="1"/>
  <c r="K119" i="5" s="1"/>
  <c r="L119" i="5" s="1"/>
  <c r="E118" i="5"/>
  <c r="F118" i="5" s="1"/>
  <c r="G118" i="5" s="1"/>
  <c r="H118" i="5" s="1"/>
  <c r="I118" i="5" s="1"/>
  <c r="J118" i="5" s="1"/>
  <c r="K118" i="5" s="1"/>
  <c r="L118" i="5" s="1"/>
  <c r="E117" i="5"/>
  <c r="F117" i="5" s="1"/>
  <c r="G117" i="5" s="1"/>
  <c r="H117" i="5" s="1"/>
  <c r="I117" i="5" s="1"/>
  <c r="J117" i="5" s="1"/>
  <c r="K117" i="5" s="1"/>
  <c r="L117" i="5" s="1"/>
  <c r="E94" i="5"/>
  <c r="G94" i="5" s="1"/>
  <c r="H94" i="5" s="1"/>
  <c r="I94" i="5" s="1"/>
  <c r="J94" i="5" s="1"/>
  <c r="K94" i="5" s="1"/>
  <c r="L94" i="5" s="1"/>
  <c r="E93" i="5"/>
  <c r="G93" i="5" s="1"/>
  <c r="H93" i="5" s="1"/>
  <c r="I93" i="5" s="1"/>
  <c r="J93" i="5" s="1"/>
  <c r="K93" i="5" s="1"/>
  <c r="L93" i="5" s="1"/>
  <c r="E75" i="5"/>
  <c r="F75" i="5" s="1"/>
  <c r="G75" i="5" s="1"/>
  <c r="H75" i="5" s="1"/>
  <c r="I75" i="5" s="1"/>
  <c r="J75" i="5" s="1"/>
  <c r="K75" i="5" s="1"/>
  <c r="L75" i="5" s="1"/>
  <c r="E74" i="5"/>
  <c r="F74" i="5" s="1"/>
  <c r="G74" i="5" s="1"/>
  <c r="H74" i="5" s="1"/>
  <c r="I74" i="5" s="1"/>
  <c r="J74" i="5" s="1"/>
  <c r="K74" i="5" s="1"/>
  <c r="L74" i="5" s="1"/>
  <c r="E73" i="5"/>
  <c r="F73" i="5" s="1"/>
  <c r="G73" i="5" s="1"/>
  <c r="H73" i="5" s="1"/>
  <c r="I73" i="5" s="1"/>
  <c r="J73" i="5" s="1"/>
  <c r="K73" i="5" s="1"/>
  <c r="L73" i="5" s="1"/>
  <c r="E72" i="5"/>
  <c r="F72" i="5" s="1"/>
  <c r="G72" i="5" s="1"/>
  <c r="H72" i="5" s="1"/>
  <c r="I72" i="5" s="1"/>
  <c r="J72" i="5" s="1"/>
  <c r="K72" i="5" s="1"/>
  <c r="L72" i="5" s="1"/>
  <c r="E71" i="5"/>
  <c r="F71" i="5" s="1"/>
  <c r="G71" i="5" s="1"/>
  <c r="H71" i="5" s="1"/>
  <c r="I71" i="5" s="1"/>
  <c r="J71" i="5" s="1"/>
  <c r="K71" i="5" s="1"/>
  <c r="L71" i="5" s="1"/>
  <c r="E70" i="5"/>
  <c r="F70" i="5" s="1"/>
  <c r="G70" i="5" s="1"/>
  <c r="H70" i="5" s="1"/>
  <c r="I70" i="5" s="1"/>
  <c r="J70" i="5" s="1"/>
  <c r="K70" i="5" s="1"/>
  <c r="L70" i="5" s="1"/>
  <c r="E48" i="5"/>
  <c r="F48" i="5" s="1"/>
  <c r="G48" i="5" s="1"/>
  <c r="H48" i="5" s="1"/>
  <c r="I48" i="5" s="1"/>
  <c r="J48" i="5" s="1"/>
  <c r="K48" i="5" s="1"/>
  <c r="L48" i="5" s="1"/>
  <c r="E47" i="5"/>
  <c r="F47" i="5" s="1"/>
  <c r="G47" i="5" s="1"/>
  <c r="H47" i="5" s="1"/>
  <c r="I47" i="5" s="1"/>
  <c r="J47" i="5" s="1"/>
  <c r="K47" i="5" s="1"/>
  <c r="L47" i="5" s="1"/>
  <c r="E28" i="5"/>
  <c r="G28" i="5" s="1"/>
  <c r="H28" i="5" s="1"/>
  <c r="I28" i="5" s="1"/>
  <c r="J28" i="5" s="1"/>
  <c r="K28" i="5" s="1"/>
  <c r="L28" i="5" s="1"/>
  <c r="E27" i="5"/>
  <c r="G27" i="5" s="1"/>
  <c r="H27" i="5" s="1"/>
  <c r="I27" i="5" s="1"/>
  <c r="J27" i="5" s="1"/>
  <c r="K27" i="5" s="1"/>
  <c r="L27" i="5" s="1"/>
  <c r="E26" i="5"/>
  <c r="G26" i="5" s="1"/>
  <c r="H26" i="5" s="1"/>
  <c r="I26" i="5" s="1"/>
  <c r="J26" i="5" s="1"/>
  <c r="K26" i="5" s="1"/>
  <c r="L26" i="5" s="1"/>
  <c r="E25" i="5"/>
  <c r="G25" i="5" s="1"/>
  <c r="H25" i="5" s="1"/>
  <c r="I25" i="5" s="1"/>
  <c r="J25" i="5" s="1"/>
  <c r="K25" i="5" s="1"/>
  <c r="L25" i="5" s="1"/>
  <c r="E24" i="5"/>
  <c r="G24" i="5" s="1"/>
  <c r="H24" i="5" s="1"/>
  <c r="I24" i="5" s="1"/>
  <c r="J24" i="5" s="1"/>
  <c r="K24" i="5" s="1"/>
  <c r="L24" i="5" s="1"/>
  <c r="E23" i="5"/>
  <c r="G23" i="5" s="1"/>
  <c r="H23" i="5" s="1"/>
  <c r="I23" i="5" s="1"/>
  <c r="J23" i="5" s="1"/>
  <c r="K23" i="5" s="1"/>
  <c r="L23" i="5" s="1"/>
  <c r="G121" i="4"/>
  <c r="C70" i="4"/>
  <c r="G70" i="4" s="1"/>
  <c r="F69" i="4"/>
  <c r="C69" i="4"/>
  <c r="G68" i="4"/>
  <c r="C68" i="4"/>
  <c r="F68" i="4" s="1"/>
  <c r="C67" i="4"/>
  <c r="G66" i="4"/>
  <c r="F66" i="4"/>
  <c r="E66" i="4"/>
  <c r="C66" i="4"/>
  <c r="G65" i="4"/>
  <c r="C65" i="4"/>
  <c r="C64" i="4"/>
  <c r="C63" i="4"/>
  <c r="E62" i="4"/>
  <c r="C62" i="4"/>
  <c r="F62" i="4" s="1"/>
  <c r="G61" i="4"/>
  <c r="E61" i="4"/>
  <c r="C61" i="4"/>
  <c r="F61" i="4" s="1"/>
  <c r="E60" i="4"/>
  <c r="C60" i="4"/>
  <c r="G59" i="4"/>
  <c r="E59" i="4"/>
  <c r="C59" i="4"/>
  <c r="G34" i="4"/>
  <c r="E143" i="3"/>
  <c r="D143" i="3"/>
  <c r="E18" i="3"/>
  <c r="F18" i="3" s="1"/>
  <c r="G18" i="3" s="1"/>
  <c r="H18" i="3" s="1"/>
  <c r="I18" i="3" s="1"/>
  <c r="J18" i="3" s="1"/>
  <c r="K18" i="3" s="1"/>
  <c r="L18" i="3" s="1"/>
  <c r="I14" i="3"/>
  <c r="G14" i="3"/>
  <c r="J13" i="3"/>
  <c r="D13" i="3"/>
  <c r="M12" i="3"/>
  <c r="M8" i="3"/>
  <c r="K8" i="3"/>
  <c r="J8" i="3"/>
  <c r="H8" i="3"/>
  <c r="E8" i="3"/>
  <c r="L7" i="3"/>
  <c r="H32" i="2"/>
  <c r="I32" i="2" s="1"/>
  <c r="J32" i="2" s="1"/>
  <c r="K32" i="2" s="1"/>
  <c r="L32" i="2" s="1"/>
  <c r="M32" i="2" s="1"/>
  <c r="F32" i="2"/>
  <c r="D32" i="2"/>
  <c r="D19" i="1"/>
  <c r="C32" i="1"/>
  <c r="D31" i="1"/>
  <c r="C31" i="1"/>
  <c r="C19" i="1"/>
  <c r="L15" i="1"/>
  <c r="K15" i="1"/>
  <c r="J15" i="1"/>
  <c r="I15" i="1"/>
  <c r="H15" i="1"/>
  <c r="H50" i="1" s="1"/>
  <c r="G15" i="1"/>
  <c r="G50" i="1" s="1"/>
  <c r="F15" i="1"/>
  <c r="F50" i="1" s="1"/>
  <c r="J14" i="1"/>
  <c r="K14" i="1" s="1"/>
  <c r="L14" i="1" s="1"/>
  <c r="J13" i="1"/>
  <c r="H49" i="1"/>
  <c r="F49" i="1"/>
  <c r="E16" i="1"/>
  <c r="C16" i="1"/>
  <c r="H11" i="1"/>
  <c r="I10" i="1"/>
  <c r="J10" i="1" s="1"/>
  <c r="K10" i="1" s="1"/>
  <c r="L10" i="1" s="1"/>
  <c r="J9" i="1"/>
  <c r="K9" i="1" s="1"/>
  <c r="L9" i="1" s="1"/>
  <c r="F11" i="1"/>
  <c r="F48" i="1"/>
  <c r="E2" i="1"/>
  <c r="F143" i="3" l="1"/>
  <c r="C57" i="3"/>
  <c r="M59" i="4"/>
  <c r="G121" i="5"/>
  <c r="H143" i="3" s="1"/>
  <c r="G143" i="3"/>
  <c r="BG22" i="7"/>
  <c r="C71" i="3" s="1"/>
  <c r="G60" i="4"/>
  <c r="F65" i="4"/>
  <c r="E23" i="4"/>
  <c r="S61" i="4"/>
  <c r="E110" i="4"/>
  <c r="K61" i="4"/>
  <c r="O61" i="4" s="1"/>
  <c r="C112" i="4"/>
  <c r="Q63" i="4"/>
  <c r="C25" i="4"/>
  <c r="I63" i="4"/>
  <c r="E112" i="4"/>
  <c r="E25" i="4"/>
  <c r="K63" i="4"/>
  <c r="S63" i="4"/>
  <c r="C115" i="4"/>
  <c r="C28" i="4"/>
  <c r="Q66" i="4"/>
  <c r="I66" i="4"/>
  <c r="E115" i="4"/>
  <c r="K66" i="4"/>
  <c r="O66" i="4" s="1"/>
  <c r="S66" i="4"/>
  <c r="E28" i="4"/>
  <c r="C119" i="4"/>
  <c r="I70" i="4"/>
  <c r="Q70" i="4"/>
  <c r="C32" i="4"/>
  <c r="K70" i="4"/>
  <c r="O70" i="4" s="1"/>
  <c r="S70" i="4"/>
  <c r="E119" i="4"/>
  <c r="E32" i="4"/>
  <c r="F16" i="1"/>
  <c r="D32" i="1"/>
  <c r="E32" i="1" s="1"/>
  <c r="C111" i="4"/>
  <c r="C24" i="4"/>
  <c r="I62" i="4"/>
  <c r="Q62" i="4"/>
  <c r="Q65" i="4"/>
  <c r="I65" i="4"/>
  <c r="M65" i="4" s="1"/>
  <c r="C114" i="4"/>
  <c r="C27" i="4"/>
  <c r="E114" i="4"/>
  <c r="S65" i="4"/>
  <c r="E27" i="4"/>
  <c r="K65" i="4"/>
  <c r="O65" i="4" s="1"/>
  <c r="I67" i="4"/>
  <c r="Q67" i="4"/>
  <c r="C29" i="4"/>
  <c r="C116" i="4"/>
  <c r="S67" i="4"/>
  <c r="E116" i="4"/>
  <c r="K67" i="4"/>
  <c r="C118" i="4"/>
  <c r="I69" i="4"/>
  <c r="Q69" i="4"/>
  <c r="C31" i="4"/>
  <c r="G11" i="1"/>
  <c r="H48" i="1"/>
  <c r="G49" i="1"/>
  <c r="I16" i="1"/>
  <c r="C21" i="4"/>
  <c r="C108" i="4"/>
  <c r="Q59" i="4"/>
  <c r="K59" i="4"/>
  <c r="O59" i="4" s="1"/>
  <c r="E108" i="4"/>
  <c r="S59" i="4"/>
  <c r="E21" i="4"/>
  <c r="D109" i="4"/>
  <c r="R60" i="4"/>
  <c r="D22" i="4"/>
  <c r="J60" i="4"/>
  <c r="C110" i="4"/>
  <c r="C23" i="4"/>
  <c r="I61" i="4"/>
  <c r="M61" i="4" s="1"/>
  <c r="Q61" i="4"/>
  <c r="AH24" i="7"/>
  <c r="D108" i="4"/>
  <c r="D21" i="4"/>
  <c r="J59" i="4"/>
  <c r="N59" i="4" s="1"/>
  <c r="R59" i="4"/>
  <c r="C109" i="4"/>
  <c r="Q60" i="4"/>
  <c r="C22" i="4"/>
  <c r="I60" i="4"/>
  <c r="D113" i="4"/>
  <c r="D26" i="4"/>
  <c r="R64" i="4"/>
  <c r="J64" i="4"/>
  <c r="I68" i="4"/>
  <c r="Q68" i="4"/>
  <c r="C117" i="4"/>
  <c r="C30" i="4"/>
  <c r="D118" i="4"/>
  <c r="J69" i="4"/>
  <c r="R69" i="4"/>
  <c r="D31" i="4"/>
  <c r="K13" i="1"/>
  <c r="J16" i="1"/>
  <c r="J62" i="4"/>
  <c r="D111" i="4"/>
  <c r="R62" i="4"/>
  <c r="D24" i="4"/>
  <c r="BD22" i="7"/>
  <c r="C68" i="3" s="1"/>
  <c r="D115" i="4"/>
  <c r="J66" i="4"/>
  <c r="D28" i="4"/>
  <c r="R66" i="4"/>
  <c r="D116" i="4"/>
  <c r="J67" i="4"/>
  <c r="D29" i="4"/>
  <c r="R67" i="4"/>
  <c r="S68" i="4"/>
  <c r="E117" i="4"/>
  <c r="K68" i="4"/>
  <c r="O68" i="4" s="1"/>
  <c r="E30" i="4"/>
  <c r="E109" i="4"/>
  <c r="E22" i="4"/>
  <c r="K60" i="4"/>
  <c r="S60" i="4"/>
  <c r="D110" i="4"/>
  <c r="J61" i="4"/>
  <c r="R61" i="4"/>
  <c r="D23" i="4"/>
  <c r="C54" i="3"/>
  <c r="D119" i="4"/>
  <c r="R70" i="4"/>
  <c r="J70" i="4"/>
  <c r="D32" i="4"/>
  <c r="E31" i="1"/>
  <c r="F2" i="1"/>
  <c r="F63" i="4"/>
  <c r="E63" i="4"/>
  <c r="M63" i="4" s="1"/>
  <c r="G63" i="4"/>
  <c r="E111" i="4"/>
  <c r="S62" i="4"/>
  <c r="E24" i="4"/>
  <c r="K62" i="4"/>
  <c r="O62" i="4" s="1"/>
  <c r="D112" i="4"/>
  <c r="D25" i="4"/>
  <c r="J63" i="4"/>
  <c r="R63" i="4"/>
  <c r="I64" i="4"/>
  <c r="Q64" i="4"/>
  <c r="C26" i="4"/>
  <c r="E113" i="4"/>
  <c r="E26" i="4"/>
  <c r="K64" i="4"/>
  <c r="K72" i="4" s="1"/>
  <c r="S64" i="4"/>
  <c r="D114" i="4"/>
  <c r="J65" i="4"/>
  <c r="N65" i="4" s="1"/>
  <c r="R65" i="4"/>
  <c r="D27" i="4"/>
  <c r="R68" i="4"/>
  <c r="D30" i="4"/>
  <c r="J68" i="4"/>
  <c r="N68" i="4" s="1"/>
  <c r="K69" i="4"/>
  <c r="S69" i="4"/>
  <c r="E31" i="4"/>
  <c r="E118" i="4"/>
  <c r="E29" i="4"/>
  <c r="G48" i="1"/>
  <c r="N69" i="4"/>
  <c r="M60" i="4"/>
  <c r="D16" i="1"/>
  <c r="G16" i="1"/>
  <c r="H16" i="1"/>
  <c r="N62" i="4"/>
  <c r="N61" i="4"/>
  <c r="M62" i="4"/>
  <c r="G64" i="4"/>
  <c r="F64" i="4"/>
  <c r="C113" i="4"/>
  <c r="M66" i="4"/>
  <c r="N66" i="4"/>
  <c r="E69" i="4"/>
  <c r="G69" i="4"/>
  <c r="D117" i="4"/>
  <c r="F60" i="4"/>
  <c r="F67" i="4"/>
  <c r="E67" i="4"/>
  <c r="M67" i="4" s="1"/>
  <c r="C12" i="6"/>
  <c r="C16" i="6"/>
  <c r="C8" i="6"/>
  <c r="C17" i="6"/>
  <c r="C15" i="6"/>
  <c r="C14" i="6"/>
  <c r="C13" i="6"/>
  <c r="C11" i="6"/>
  <c r="C10" i="6"/>
  <c r="C9" i="6"/>
  <c r="X28" i="6"/>
  <c r="G28" i="6"/>
  <c r="Y28" i="6" s="1"/>
  <c r="O67" i="4"/>
  <c r="S28" i="6"/>
  <c r="E8" i="6"/>
  <c r="D8" i="3" s="1"/>
  <c r="C99" i="3"/>
  <c r="I16" i="6"/>
  <c r="I12" i="6"/>
  <c r="E70" i="4"/>
  <c r="M70" i="4" s="1"/>
  <c r="J13" i="6"/>
  <c r="I13" i="3" s="1"/>
  <c r="J17" i="6"/>
  <c r="M13" i="3" s="1"/>
  <c r="J9" i="6"/>
  <c r="E13" i="3" s="1"/>
  <c r="D10" i="6"/>
  <c r="F7" i="3" s="1"/>
  <c r="D11" i="6"/>
  <c r="G7" i="3" s="1"/>
  <c r="D12" i="6"/>
  <c r="H7" i="3" s="1"/>
  <c r="U29" i="6"/>
  <c r="X30" i="6"/>
  <c r="T32" i="6"/>
  <c r="U33" i="6"/>
  <c r="X34" i="6"/>
  <c r="T36" i="6"/>
  <c r="U37" i="6"/>
  <c r="X38" i="6"/>
  <c r="T40" i="6"/>
  <c r="X42" i="6"/>
  <c r="T44" i="6"/>
  <c r="X46" i="6"/>
  <c r="U47" i="6"/>
  <c r="V50" i="6"/>
  <c r="X52" i="6"/>
  <c r="Y79" i="6"/>
  <c r="BN25" i="7"/>
  <c r="C85" i="3" s="1"/>
  <c r="F70" i="4"/>
  <c r="K10" i="6"/>
  <c r="F14" i="3" s="1"/>
  <c r="K14" i="6"/>
  <c r="J14" i="3" s="1"/>
  <c r="I8" i="6"/>
  <c r="D14" i="6"/>
  <c r="J7" i="3" s="1"/>
  <c r="D15" i="6"/>
  <c r="K7" i="3" s="1"/>
  <c r="T28" i="6"/>
  <c r="W50" i="6"/>
  <c r="U64" i="6"/>
  <c r="U97" i="6" s="1"/>
  <c r="N8" i="6"/>
  <c r="M64" i="6"/>
  <c r="Y64" i="6" s="1"/>
  <c r="X64" i="6"/>
  <c r="D20" i="3" s="1"/>
  <c r="T67" i="6"/>
  <c r="V76" i="6"/>
  <c r="X76" i="6"/>
  <c r="T83" i="6"/>
  <c r="V92" i="6"/>
  <c r="X92" i="6"/>
  <c r="BK21" i="7"/>
  <c r="C79" i="3" s="1"/>
  <c r="E68" i="4"/>
  <c r="M68" i="4" s="1"/>
  <c r="L7" i="6"/>
  <c r="I9" i="6"/>
  <c r="I10" i="6"/>
  <c r="I11" i="6"/>
  <c r="X29" i="6"/>
  <c r="T31" i="6"/>
  <c r="U32" i="6"/>
  <c r="X33" i="6"/>
  <c r="T35" i="6"/>
  <c r="U36" i="6"/>
  <c r="X37" i="6"/>
  <c r="T39" i="6"/>
  <c r="X41" i="6"/>
  <c r="T43" i="6"/>
  <c r="X45" i="6"/>
  <c r="T49" i="6"/>
  <c r="T55" i="6"/>
  <c r="Y75" i="6"/>
  <c r="Y91" i="6"/>
  <c r="BK25" i="7"/>
  <c r="C84" i="3" s="1"/>
  <c r="BD25" i="7"/>
  <c r="C90" i="3" s="1"/>
  <c r="BK24" i="7"/>
  <c r="N7" i="6"/>
  <c r="K8" i="6"/>
  <c r="D14" i="3" s="1"/>
  <c r="K9" i="6"/>
  <c r="E14" i="3" s="1"/>
  <c r="I13" i="6"/>
  <c r="I14" i="6"/>
  <c r="I15" i="6"/>
  <c r="U49" i="6"/>
  <c r="Y52" i="6"/>
  <c r="U53" i="6"/>
  <c r="V72" i="6"/>
  <c r="X72" i="6"/>
  <c r="T79" i="6"/>
  <c r="V88" i="6"/>
  <c r="X88" i="6"/>
  <c r="I25" i="7"/>
  <c r="I24" i="7"/>
  <c r="AH25" i="7"/>
  <c r="C103" i="3" s="1"/>
  <c r="C96" i="3"/>
  <c r="D17" i="6"/>
  <c r="M7" i="3" s="1"/>
  <c r="D9" i="6"/>
  <c r="E7" i="3" s="1"/>
  <c r="D13" i="6"/>
  <c r="I7" i="3" s="1"/>
  <c r="P7" i="6"/>
  <c r="K15" i="6"/>
  <c r="K14" i="3" s="1"/>
  <c r="K16" i="6"/>
  <c r="L14" i="3" s="1"/>
  <c r="K17" i="6"/>
  <c r="M14" i="3" s="1"/>
  <c r="X47" i="6"/>
  <c r="U48" i="6"/>
  <c r="W51" i="6"/>
  <c r="V68" i="6"/>
  <c r="X68" i="6"/>
  <c r="V84" i="6"/>
  <c r="X84" i="6"/>
  <c r="C53" i="3"/>
  <c r="BD24" i="7"/>
  <c r="E10" i="6"/>
  <c r="F8" i="3" s="1"/>
  <c r="D8" i="6"/>
  <c r="D7" i="3" s="1"/>
  <c r="N14" i="6"/>
  <c r="V56" i="6"/>
  <c r="X56" i="6"/>
  <c r="BG24" i="7"/>
  <c r="BN21" i="7"/>
  <c r="C81" i="3" s="1"/>
  <c r="BG25" i="7"/>
  <c r="C91" i="3" s="1"/>
  <c r="C56" i="3"/>
  <c r="BG21" i="7"/>
  <c r="C70" i="3" s="1"/>
  <c r="V49" i="6"/>
  <c r="V55" i="6"/>
  <c r="V64" i="6"/>
  <c r="V67" i="6"/>
  <c r="V71" i="6"/>
  <c r="V75" i="6"/>
  <c r="V79" i="6"/>
  <c r="V83" i="6"/>
  <c r="V87" i="6"/>
  <c r="V91" i="6"/>
  <c r="V48" i="6"/>
  <c r="U54" i="6"/>
  <c r="U58" i="6"/>
  <c r="U66" i="6"/>
  <c r="U70" i="6"/>
  <c r="U74" i="6"/>
  <c r="U78" i="6"/>
  <c r="U82" i="6"/>
  <c r="U86" i="6"/>
  <c r="U90" i="6"/>
  <c r="U94" i="6"/>
  <c r="V54" i="6"/>
  <c r="V58" i="6"/>
  <c r="V66" i="6"/>
  <c r="V70" i="6"/>
  <c r="V74" i="6"/>
  <c r="V78" i="6"/>
  <c r="V82" i="6"/>
  <c r="V86" i="6"/>
  <c r="V90" i="6"/>
  <c r="V94" i="6"/>
  <c r="BN24" i="7"/>
  <c r="U57" i="6"/>
  <c r="U65" i="6"/>
  <c r="U69" i="6"/>
  <c r="U73" i="6"/>
  <c r="U77" i="6"/>
  <c r="U81" i="6"/>
  <c r="U85" i="6"/>
  <c r="U89" i="6"/>
  <c r="U93" i="6"/>
  <c r="V52" i="6"/>
  <c r="U56" i="6"/>
  <c r="U68" i="6"/>
  <c r="U72" i="6"/>
  <c r="U76" i="6"/>
  <c r="U80" i="6"/>
  <c r="U84" i="6"/>
  <c r="U88" i="6"/>
  <c r="U92" i="6"/>
  <c r="AE25" i="7"/>
  <c r="C102" i="3" s="1"/>
  <c r="BD21" i="7"/>
  <c r="C67" i="3" s="1"/>
  <c r="F25" i="7"/>
  <c r="F24" i="7"/>
  <c r="H121" i="5" l="1"/>
  <c r="I121" i="5" s="1"/>
  <c r="I72" i="4"/>
  <c r="O60" i="4"/>
  <c r="O69" i="4"/>
  <c r="M69" i="4"/>
  <c r="BN23" i="7"/>
  <c r="C82" i="3" s="1"/>
  <c r="BK23" i="7"/>
  <c r="C80" i="3" s="1"/>
  <c r="O63" i="4"/>
  <c r="AH23" i="7"/>
  <c r="C101" i="3" s="1"/>
  <c r="F15" i="6"/>
  <c r="K6" i="3"/>
  <c r="K9" i="3" s="1"/>
  <c r="V65" i="4"/>
  <c r="Z65" i="4"/>
  <c r="Q72" i="4"/>
  <c r="Y72" i="4" s="1"/>
  <c r="Y64" i="4"/>
  <c r="U64" i="4"/>
  <c r="AA62" i="4"/>
  <c r="W62" i="4"/>
  <c r="Z69" i="4"/>
  <c r="V69" i="4"/>
  <c r="AA67" i="4"/>
  <c r="W67" i="4"/>
  <c r="Y70" i="4"/>
  <c r="U70" i="4"/>
  <c r="Y66" i="4"/>
  <c r="U66" i="4"/>
  <c r="L13" i="6"/>
  <c r="I12" i="3"/>
  <c r="I15" i="3" s="1"/>
  <c r="N70" i="4"/>
  <c r="F17" i="6"/>
  <c r="M6" i="3"/>
  <c r="M9" i="3" s="1"/>
  <c r="L17" i="6"/>
  <c r="V70" i="4"/>
  <c r="Z70" i="4"/>
  <c r="D34" i="4"/>
  <c r="D35" i="4" s="1"/>
  <c r="F38" i="2" s="1"/>
  <c r="G38" i="2" s="1"/>
  <c r="H38" i="2" s="1"/>
  <c r="I38" i="2" s="1"/>
  <c r="J38" i="2" s="1"/>
  <c r="K38" i="2" s="1"/>
  <c r="L38" i="2" s="1"/>
  <c r="M38" i="2" s="1"/>
  <c r="U59" i="4"/>
  <c r="Y59" i="4"/>
  <c r="E34" i="1"/>
  <c r="E19" i="1" s="1"/>
  <c r="U63" i="4"/>
  <c r="Y63" i="4"/>
  <c r="C98" i="3"/>
  <c r="L11" i="6"/>
  <c r="G12" i="3"/>
  <c r="G15" i="3" s="1"/>
  <c r="L12" i="6"/>
  <c r="H12" i="3"/>
  <c r="H15" i="3" s="1"/>
  <c r="F8" i="6"/>
  <c r="D6" i="3"/>
  <c r="D9" i="3" s="1"/>
  <c r="W69" i="4"/>
  <c r="AA69" i="4"/>
  <c r="Z63" i="4"/>
  <c r="V63" i="4"/>
  <c r="Z62" i="4"/>
  <c r="V62" i="4"/>
  <c r="D121" i="4"/>
  <c r="D122" i="4" s="1"/>
  <c r="E38" i="2" s="1"/>
  <c r="D38" i="2" s="1"/>
  <c r="V60" i="4"/>
  <c r="Z60" i="4"/>
  <c r="C121" i="4"/>
  <c r="C122" i="4" s="1"/>
  <c r="E36" i="2" s="1"/>
  <c r="D36" i="2" s="1"/>
  <c r="Z67" i="4"/>
  <c r="V67" i="4"/>
  <c r="L10" i="6"/>
  <c r="F12" i="3"/>
  <c r="F15" i="3" s="1"/>
  <c r="L16" i="6"/>
  <c r="L12" i="3"/>
  <c r="L15" i="3" s="1"/>
  <c r="F9" i="6"/>
  <c r="E6" i="3"/>
  <c r="E9" i="3" s="1"/>
  <c r="F16" i="6"/>
  <c r="L6" i="3"/>
  <c r="L9" i="3" s="1"/>
  <c r="M64" i="4"/>
  <c r="M72" i="4" s="1"/>
  <c r="S72" i="4"/>
  <c r="AA72" i="4" s="1"/>
  <c r="W64" i="4"/>
  <c r="AA64" i="4"/>
  <c r="C34" i="4"/>
  <c r="C35" i="4" s="1"/>
  <c r="F36" i="2" s="1"/>
  <c r="G36" i="2" s="1"/>
  <c r="H36" i="2" s="1"/>
  <c r="I36" i="2" s="1"/>
  <c r="J36" i="2" s="1"/>
  <c r="K36" i="2" s="1"/>
  <c r="L36" i="2" s="1"/>
  <c r="M36" i="2" s="1"/>
  <c r="U69" i="4"/>
  <c r="Y69" i="4"/>
  <c r="U67" i="4"/>
  <c r="Y67" i="4"/>
  <c r="AA63" i="4"/>
  <c r="W63" i="4"/>
  <c r="AA60" i="4"/>
  <c r="W60" i="4"/>
  <c r="I23" i="7"/>
  <c r="C58" i="3" s="1"/>
  <c r="L9" i="6"/>
  <c r="E12" i="3"/>
  <c r="E15" i="3" s="1"/>
  <c r="F10" i="6"/>
  <c r="F6" i="3"/>
  <c r="F9" i="3" s="1"/>
  <c r="F12" i="6"/>
  <c r="H6" i="3"/>
  <c r="H9" i="3" s="1"/>
  <c r="F72" i="4"/>
  <c r="N64" i="4"/>
  <c r="N63" i="4"/>
  <c r="Z66" i="4"/>
  <c r="V66" i="4"/>
  <c r="Y61" i="4"/>
  <c r="U61" i="4"/>
  <c r="E34" i="4"/>
  <c r="E35" i="4" s="1"/>
  <c r="F37" i="2" s="1"/>
  <c r="G37" i="2" s="1"/>
  <c r="H37" i="2" s="1"/>
  <c r="I37" i="2" s="1"/>
  <c r="J37" i="2" s="1"/>
  <c r="K37" i="2" s="1"/>
  <c r="L37" i="2" s="1"/>
  <c r="M37" i="2" s="1"/>
  <c r="Y65" i="4"/>
  <c r="U65" i="4"/>
  <c r="W66" i="4"/>
  <c r="AA66" i="4"/>
  <c r="L14" i="6"/>
  <c r="J12" i="3"/>
  <c r="J15" i="3" s="1"/>
  <c r="F11" i="6"/>
  <c r="G6" i="3"/>
  <c r="G9" i="3" s="1"/>
  <c r="G72" i="4"/>
  <c r="O64" i="4"/>
  <c r="O72" i="4" s="1"/>
  <c r="G2" i="1"/>
  <c r="F31" i="1"/>
  <c r="V61" i="4"/>
  <c r="Z61" i="4"/>
  <c r="Y68" i="4"/>
  <c r="U68" i="4"/>
  <c r="Y60" i="4"/>
  <c r="U60" i="4"/>
  <c r="AA59" i="4"/>
  <c r="W59" i="4"/>
  <c r="U62" i="4"/>
  <c r="Y62" i="4"/>
  <c r="AA70" i="4"/>
  <c r="W70" i="4"/>
  <c r="W61" i="4"/>
  <c r="AA61" i="4"/>
  <c r="V64" i="4"/>
  <c r="R72" i="4"/>
  <c r="Z64" i="4"/>
  <c r="F23" i="7"/>
  <c r="C55" i="3" s="1"/>
  <c r="BD23" i="7"/>
  <c r="C69" i="3" s="1"/>
  <c r="C75" i="3" s="1"/>
  <c r="C88" i="3" s="1"/>
  <c r="E20" i="3"/>
  <c r="F20" i="3" s="1"/>
  <c r="G20" i="3" s="1"/>
  <c r="H20" i="3" s="1"/>
  <c r="I20" i="3" s="1"/>
  <c r="J20" i="3" s="1"/>
  <c r="K20" i="3" s="1"/>
  <c r="L20" i="3" s="1"/>
  <c r="D19" i="3"/>
  <c r="E19" i="3" s="1"/>
  <c r="F19" i="3" s="1"/>
  <c r="G19" i="3" s="1"/>
  <c r="H19" i="3" s="1"/>
  <c r="I19" i="3" s="1"/>
  <c r="J19" i="3" s="1"/>
  <c r="K19" i="3" s="1"/>
  <c r="L19" i="3" s="1"/>
  <c r="L8" i="6"/>
  <c r="D12" i="3"/>
  <c r="D15" i="3" s="1"/>
  <c r="F13" i="6"/>
  <c r="I6" i="3"/>
  <c r="I9" i="3" s="1"/>
  <c r="N67" i="4"/>
  <c r="Z68" i="4"/>
  <c r="V68" i="4"/>
  <c r="L13" i="1"/>
  <c r="L16" i="1" s="1"/>
  <c r="K16" i="1"/>
  <c r="E121" i="4"/>
  <c r="E122" i="4" s="1"/>
  <c r="E37" i="2" s="1"/>
  <c r="D37" i="2" s="1"/>
  <c r="BG23" i="7"/>
  <c r="C72" i="3" s="1"/>
  <c r="C76" i="3" s="1"/>
  <c r="C89" i="3" s="1"/>
  <c r="L15" i="6"/>
  <c r="K12" i="3"/>
  <c r="K15" i="3" s="1"/>
  <c r="M15" i="3"/>
  <c r="F14" i="6"/>
  <c r="J6" i="3"/>
  <c r="J9" i="3" s="1"/>
  <c r="N60" i="4"/>
  <c r="AA68" i="4"/>
  <c r="W68" i="4"/>
  <c r="J72" i="4"/>
  <c r="V59" i="4"/>
  <c r="Z59" i="4"/>
  <c r="I11" i="1"/>
  <c r="J8" i="1"/>
  <c r="AA65" i="4"/>
  <c r="W65" i="4"/>
  <c r="I143" i="3" l="1"/>
  <c r="G7" i="2"/>
  <c r="G22" i="2" s="1"/>
  <c r="G30" i="2" s="1"/>
  <c r="Z72" i="4"/>
  <c r="C61" i="3"/>
  <c r="C62" i="3"/>
  <c r="W72" i="4"/>
  <c r="N72" i="4"/>
  <c r="J121" i="5"/>
  <c r="J143" i="3"/>
  <c r="D23" i="3"/>
  <c r="D24" i="3"/>
  <c r="D25" i="3"/>
  <c r="D44" i="3" s="1"/>
  <c r="V72" i="4"/>
  <c r="F25" i="3"/>
  <c r="F44" i="3" s="1"/>
  <c r="F24" i="3"/>
  <c r="F23" i="3"/>
  <c r="L25" i="3"/>
  <c r="L44" i="3" s="1"/>
  <c r="L24" i="3"/>
  <c r="L23" i="3"/>
  <c r="J25" i="3"/>
  <c r="J44" i="3" s="1"/>
  <c r="J24" i="3"/>
  <c r="J23" i="3"/>
  <c r="E24" i="3"/>
  <c r="E25" i="3"/>
  <c r="E44" i="3" s="1"/>
  <c r="E23" i="3"/>
  <c r="G23" i="3"/>
  <c r="G24" i="3"/>
  <c r="G25" i="3"/>
  <c r="G44" i="3" s="1"/>
  <c r="I25" i="3"/>
  <c r="I44" i="3" s="1"/>
  <c r="I24" i="3"/>
  <c r="I23" i="3"/>
  <c r="M24" i="3"/>
  <c r="M23" i="3"/>
  <c r="M25" i="3"/>
  <c r="M44" i="3" s="1"/>
  <c r="G31" i="1"/>
  <c r="H2" i="1"/>
  <c r="K25" i="3"/>
  <c r="K44" i="3" s="1"/>
  <c r="K24" i="3"/>
  <c r="K23" i="3"/>
  <c r="J11" i="1"/>
  <c r="K8" i="1"/>
  <c r="H23" i="3"/>
  <c r="H24" i="3"/>
  <c r="H25" i="3"/>
  <c r="H44" i="3" s="1"/>
  <c r="L100" i="3" l="1"/>
  <c r="L162" i="3" s="1"/>
  <c r="L97" i="3"/>
  <c r="L159" i="3" s="1"/>
  <c r="K100" i="3"/>
  <c r="K162" i="3" s="1"/>
  <c r="K97" i="3"/>
  <c r="K159" i="3" s="1"/>
  <c r="M100" i="3"/>
  <c r="M162" i="3" s="1"/>
  <c r="M97" i="3"/>
  <c r="M159" i="3" s="1"/>
  <c r="G100" i="3"/>
  <c r="G162" i="3" s="1"/>
  <c r="G97" i="3"/>
  <c r="G159" i="3" s="1"/>
  <c r="J100" i="3"/>
  <c r="J162" i="3" s="1"/>
  <c r="J97" i="3"/>
  <c r="J159" i="3" s="1"/>
  <c r="I97" i="3"/>
  <c r="I159" i="3" s="1"/>
  <c r="I100" i="3"/>
  <c r="I162" i="3" s="1"/>
  <c r="H100" i="3"/>
  <c r="H162" i="3" s="1"/>
  <c r="H97" i="3"/>
  <c r="H159" i="3" s="1"/>
  <c r="F97" i="3"/>
  <c r="F159" i="3" s="1"/>
  <c r="F100" i="3"/>
  <c r="F162" i="3" s="1"/>
  <c r="D100" i="3"/>
  <c r="D162" i="3" s="1"/>
  <c r="D97" i="3"/>
  <c r="D159" i="3" s="1"/>
  <c r="D96" i="3"/>
  <c r="E100" i="3"/>
  <c r="E162" i="3" s="1"/>
  <c r="E97" i="3"/>
  <c r="E159" i="3" s="1"/>
  <c r="K121" i="5"/>
  <c r="K143" i="3"/>
  <c r="I26" i="3"/>
  <c r="I33" i="3"/>
  <c r="I32" i="3"/>
  <c r="I98" i="3"/>
  <c r="I160" i="3" s="1"/>
  <c r="I101" i="3"/>
  <c r="I163" i="3" s="1"/>
  <c r="I99" i="3"/>
  <c r="I45" i="3"/>
  <c r="I16" i="2" s="1"/>
  <c r="I96" i="3"/>
  <c r="F40" i="3"/>
  <c r="F39" i="3"/>
  <c r="F38" i="3"/>
  <c r="F37" i="3"/>
  <c r="K33" i="3"/>
  <c r="K26" i="3"/>
  <c r="K32" i="3"/>
  <c r="H45" i="3"/>
  <c r="H16" i="2" s="1"/>
  <c r="H98" i="3"/>
  <c r="H160" i="3" s="1"/>
  <c r="H99" i="3"/>
  <c r="H96" i="3"/>
  <c r="H101" i="3"/>
  <c r="H163" i="3" s="1"/>
  <c r="H31" i="1"/>
  <c r="I2" i="1"/>
  <c r="G98" i="3"/>
  <c r="G160" i="3" s="1"/>
  <c r="G96" i="3"/>
  <c r="G45" i="3"/>
  <c r="G16" i="2" s="1"/>
  <c r="G101" i="3"/>
  <c r="G163" i="3" s="1"/>
  <c r="G99" i="3"/>
  <c r="J32" i="3"/>
  <c r="J26" i="3"/>
  <c r="J33" i="3"/>
  <c r="F99" i="3"/>
  <c r="F101" i="3"/>
  <c r="F163" i="3" s="1"/>
  <c r="F96" i="3"/>
  <c r="F98" i="3"/>
  <c r="F160" i="3" s="1"/>
  <c r="F45" i="3"/>
  <c r="F16" i="2" s="1"/>
  <c r="L96" i="3"/>
  <c r="L99" i="3"/>
  <c r="L98" i="3"/>
  <c r="L160" i="3" s="1"/>
  <c r="L101" i="3"/>
  <c r="L163" i="3" s="1"/>
  <c r="L45" i="3"/>
  <c r="L16" i="2" s="1"/>
  <c r="F26" i="3"/>
  <c r="F33" i="3"/>
  <c r="F32" i="3" s="1"/>
  <c r="H39" i="3"/>
  <c r="H40" i="3"/>
  <c r="H38" i="3"/>
  <c r="H37" i="3"/>
  <c r="J39" i="3"/>
  <c r="J38" i="3"/>
  <c r="J37" i="3"/>
  <c r="J40" i="3"/>
  <c r="K40" i="3"/>
  <c r="K39" i="3"/>
  <c r="K37" i="3"/>
  <c r="K38" i="3"/>
  <c r="M45" i="3"/>
  <c r="M16" i="2" s="1"/>
  <c r="M96" i="3"/>
  <c r="M101" i="3"/>
  <c r="M163" i="3" s="1"/>
  <c r="M98" i="3"/>
  <c r="M160" i="3" s="1"/>
  <c r="M99" i="3"/>
  <c r="G32" i="3"/>
  <c r="G33" i="3"/>
  <c r="G61" i="3" s="1"/>
  <c r="G26" i="3"/>
  <c r="J96" i="3"/>
  <c r="J99" i="3"/>
  <c r="J101" i="3"/>
  <c r="J163" i="3" s="1"/>
  <c r="J45" i="3"/>
  <c r="J16" i="2" s="1"/>
  <c r="J98" i="3"/>
  <c r="J160" i="3" s="1"/>
  <c r="D99" i="3"/>
  <c r="D98" i="3"/>
  <c r="D160" i="3" s="1"/>
  <c r="D45" i="3"/>
  <c r="D16" i="2" s="1"/>
  <c r="D101" i="3"/>
  <c r="D163" i="3" s="1"/>
  <c r="G38" i="3"/>
  <c r="G37" i="3"/>
  <c r="G40" i="3"/>
  <c r="G39" i="3"/>
  <c r="L8" i="1"/>
  <c r="L11" i="1" s="1"/>
  <c r="K11" i="1"/>
  <c r="M33" i="3"/>
  <c r="M32" i="3"/>
  <c r="M26" i="3"/>
  <c r="E33" i="3"/>
  <c r="E32" i="3" s="1"/>
  <c r="E26" i="3"/>
  <c r="L33" i="3"/>
  <c r="L32" i="3"/>
  <c r="L26" i="3"/>
  <c r="D39" i="3"/>
  <c r="D38" i="3"/>
  <c r="D40" i="3" s="1"/>
  <c r="D37" i="3"/>
  <c r="E39" i="3"/>
  <c r="E38" i="3"/>
  <c r="E40" i="3" s="1"/>
  <c r="E37" i="3"/>
  <c r="I37" i="3"/>
  <c r="I40" i="3"/>
  <c r="I39" i="3"/>
  <c r="I38" i="3"/>
  <c r="K101" i="3"/>
  <c r="K163" i="3" s="1"/>
  <c r="K45" i="3"/>
  <c r="K16" i="2" s="1"/>
  <c r="K96" i="3"/>
  <c r="K99" i="3"/>
  <c r="K98" i="3"/>
  <c r="K160" i="3" s="1"/>
  <c r="H33" i="3"/>
  <c r="H61" i="3" s="1"/>
  <c r="H32" i="3"/>
  <c r="H26" i="3"/>
  <c r="M39" i="3"/>
  <c r="M40" i="3"/>
  <c r="M38" i="3"/>
  <c r="M37" i="3"/>
  <c r="E45" i="3"/>
  <c r="E16" i="2" s="1"/>
  <c r="E96" i="3"/>
  <c r="E99" i="3"/>
  <c r="E101" i="3"/>
  <c r="E163" i="3" s="1"/>
  <c r="E98" i="3"/>
  <c r="E160" i="3" s="1"/>
  <c r="L40" i="3"/>
  <c r="L39" i="3"/>
  <c r="L37" i="3"/>
  <c r="L38" i="3"/>
  <c r="D26" i="3"/>
  <c r="D33" i="3"/>
  <c r="H34" i="3" l="1"/>
  <c r="H6" i="2" s="1"/>
  <c r="H57" i="3"/>
  <c r="H115" i="3" s="1"/>
  <c r="H56" i="3"/>
  <c r="H114" i="3" s="1"/>
  <c r="H54" i="3"/>
  <c r="H112" i="3" s="1"/>
  <c r="H53" i="3"/>
  <c r="H111" i="3" s="1"/>
  <c r="H58" i="3"/>
  <c r="H116" i="3" s="1"/>
  <c r="H55" i="3"/>
  <c r="H113" i="3" s="1"/>
  <c r="M34" i="3"/>
  <c r="M6" i="2" s="1"/>
  <c r="M7" i="2" s="1"/>
  <c r="M56" i="3"/>
  <c r="M114" i="3" s="1"/>
  <c r="M54" i="3"/>
  <c r="M112" i="3" s="1"/>
  <c r="M53" i="3"/>
  <c r="M111" i="3" s="1"/>
  <c r="M57" i="3"/>
  <c r="M115" i="3" s="1"/>
  <c r="M58" i="3"/>
  <c r="M116" i="3" s="1"/>
  <c r="M55" i="3"/>
  <c r="M113" i="3" s="1"/>
  <c r="L34" i="3"/>
  <c r="L6" i="2" s="1"/>
  <c r="L40" i="2" s="1"/>
  <c r="L53" i="3"/>
  <c r="L111" i="3" s="1"/>
  <c r="L54" i="3"/>
  <c r="L112" i="3" s="1"/>
  <c r="L57" i="3"/>
  <c r="L115" i="3" s="1"/>
  <c r="L56" i="3"/>
  <c r="L114" i="3" s="1"/>
  <c r="L58" i="3"/>
  <c r="L116" i="3" s="1"/>
  <c r="L55" i="3"/>
  <c r="L113" i="3" s="1"/>
  <c r="J57" i="3"/>
  <c r="J115" i="3" s="1"/>
  <c r="J54" i="3"/>
  <c r="J112" i="3" s="1"/>
  <c r="J53" i="3"/>
  <c r="J111" i="3" s="1"/>
  <c r="J56" i="3"/>
  <c r="J114" i="3" s="1"/>
  <c r="J55" i="3"/>
  <c r="J113" i="3" s="1"/>
  <c r="J58" i="3"/>
  <c r="J116" i="3" s="1"/>
  <c r="K54" i="3"/>
  <c r="K112" i="3" s="1"/>
  <c r="K53" i="3"/>
  <c r="K111" i="3" s="1"/>
  <c r="K57" i="3"/>
  <c r="K115" i="3" s="1"/>
  <c r="K56" i="3"/>
  <c r="K114" i="3" s="1"/>
  <c r="K58" i="3"/>
  <c r="K116" i="3" s="1"/>
  <c r="K55" i="3"/>
  <c r="K113" i="3" s="1"/>
  <c r="I57" i="3"/>
  <c r="I115" i="3" s="1"/>
  <c r="I54" i="3"/>
  <c r="I112" i="3" s="1"/>
  <c r="I56" i="3"/>
  <c r="I114" i="3" s="1"/>
  <c r="I53" i="3"/>
  <c r="I111" i="3" s="1"/>
  <c r="I55" i="3"/>
  <c r="I113" i="3" s="1"/>
  <c r="I58" i="3"/>
  <c r="I116" i="3" s="1"/>
  <c r="J34" i="3"/>
  <c r="J6" i="2" s="1"/>
  <c r="J8" i="2" s="1"/>
  <c r="I34" i="3"/>
  <c r="I6" i="2" s="1"/>
  <c r="I7" i="2" s="1"/>
  <c r="L121" i="5"/>
  <c r="M143" i="3" s="1"/>
  <c r="L143" i="3"/>
  <c r="F57" i="3"/>
  <c r="F115" i="3" s="1"/>
  <c r="F58" i="3"/>
  <c r="F116" i="3" s="1"/>
  <c r="F53" i="3"/>
  <c r="F111" i="3" s="1"/>
  <c r="F54" i="3"/>
  <c r="F112" i="3" s="1"/>
  <c r="F55" i="3"/>
  <c r="F113" i="3" s="1"/>
  <c r="F34" i="3"/>
  <c r="F6" i="2" s="1"/>
  <c r="F56" i="3"/>
  <c r="F114" i="3" s="1"/>
  <c r="H7" i="2"/>
  <c r="H8" i="2"/>
  <c r="H40" i="2"/>
  <c r="E54" i="3"/>
  <c r="E112" i="3" s="1"/>
  <c r="E53" i="3"/>
  <c r="E111" i="3" s="1"/>
  <c r="E57" i="3"/>
  <c r="E115" i="3" s="1"/>
  <c r="E58" i="3"/>
  <c r="E116" i="3" s="1"/>
  <c r="E55" i="3"/>
  <c r="E113" i="3" s="1"/>
  <c r="E34" i="3"/>
  <c r="E6" i="2" s="1"/>
  <c r="E56" i="3"/>
  <c r="E114" i="3" s="1"/>
  <c r="D158" i="3"/>
  <c r="D102" i="3"/>
  <c r="D164" i="3" s="1"/>
  <c r="H88" i="3"/>
  <c r="H89" i="3"/>
  <c r="L161" i="3"/>
  <c r="L103" i="3"/>
  <c r="L165" i="3" s="1"/>
  <c r="G161" i="3"/>
  <c r="G103" i="3"/>
  <c r="G165" i="3" s="1"/>
  <c r="M68" i="3"/>
  <c r="M128" i="3" s="1"/>
  <c r="M67" i="3"/>
  <c r="M127" i="3" s="1"/>
  <c r="M70" i="3"/>
  <c r="M130" i="3" s="1"/>
  <c r="M71" i="3"/>
  <c r="M131" i="3" s="1"/>
  <c r="M72" i="3"/>
  <c r="M132" i="3" s="1"/>
  <c r="M41" i="3"/>
  <c r="M11" i="2" s="1"/>
  <c r="M69" i="3"/>
  <c r="M129" i="3" s="1"/>
  <c r="K42" i="2"/>
  <c r="K17" i="2"/>
  <c r="K18" i="2"/>
  <c r="E76" i="3"/>
  <c r="E136" i="3" s="1"/>
  <c r="E75" i="3"/>
  <c r="E135" i="3" s="1"/>
  <c r="G76" i="3"/>
  <c r="G136" i="3" s="1"/>
  <c r="G75" i="3"/>
  <c r="G135" i="3" s="1"/>
  <c r="M161" i="3"/>
  <c r="M103" i="3"/>
  <c r="M165" i="3" s="1"/>
  <c r="K89" i="3"/>
  <c r="K88" i="3"/>
  <c r="L158" i="3"/>
  <c r="L102" i="3"/>
  <c r="L164" i="3" s="1"/>
  <c r="H161" i="3"/>
  <c r="H103" i="3"/>
  <c r="H165" i="3" s="1"/>
  <c r="K62" i="3"/>
  <c r="K120" i="3" s="1"/>
  <c r="K61" i="3"/>
  <c r="K119" i="3" s="1"/>
  <c r="I61" i="3"/>
  <c r="I119" i="3" s="1"/>
  <c r="I62" i="3"/>
  <c r="I120" i="3" s="1"/>
  <c r="L81" i="3"/>
  <c r="L82" i="3"/>
  <c r="L142" i="3" s="1"/>
  <c r="L79" i="3"/>
  <c r="L80" i="3"/>
  <c r="L140" i="3" s="1"/>
  <c r="M76" i="3"/>
  <c r="M136" i="3" s="1"/>
  <c r="M75" i="3"/>
  <c r="M135" i="3" s="1"/>
  <c r="H119" i="3"/>
  <c r="H62" i="3"/>
  <c r="H120" i="3" s="1"/>
  <c r="E80" i="3"/>
  <c r="E140" i="3" s="1"/>
  <c r="E79" i="3"/>
  <c r="E81" i="3"/>
  <c r="E82" i="3"/>
  <c r="E142" i="3" s="1"/>
  <c r="E62" i="3"/>
  <c r="E120" i="3" s="1"/>
  <c r="E61" i="3"/>
  <c r="E119" i="3" s="1"/>
  <c r="J18" i="2"/>
  <c r="J42" i="2"/>
  <c r="J17" i="2"/>
  <c r="J88" i="3"/>
  <c r="J89" i="3"/>
  <c r="F18" i="2"/>
  <c r="F42" i="2"/>
  <c r="F17" i="2"/>
  <c r="G18" i="2"/>
  <c r="G42" i="2"/>
  <c r="G17" i="2"/>
  <c r="I158" i="3"/>
  <c r="I102" i="3"/>
  <c r="I164" i="3" s="1"/>
  <c r="L76" i="3"/>
  <c r="L136" i="3" s="1"/>
  <c r="L75" i="3"/>
  <c r="L135" i="3" s="1"/>
  <c r="G54" i="3"/>
  <c r="G112" i="3" s="1"/>
  <c r="G56" i="3"/>
  <c r="G114" i="3" s="1"/>
  <c r="G55" i="3"/>
  <c r="G113" i="3" s="1"/>
  <c r="G58" i="3"/>
  <c r="G116" i="3" s="1"/>
  <c r="G57" i="3"/>
  <c r="G115" i="3" s="1"/>
  <c r="G34" i="3"/>
  <c r="G6" i="2" s="1"/>
  <c r="G53" i="3"/>
  <c r="G111" i="3" s="1"/>
  <c r="H158" i="3"/>
  <c r="H102" i="3"/>
  <c r="H164" i="3" s="1"/>
  <c r="H79" i="3"/>
  <c r="H82" i="3"/>
  <c r="H142" i="3" s="1"/>
  <c r="H80" i="3"/>
  <c r="H140" i="3" s="1"/>
  <c r="H81" i="3"/>
  <c r="L88" i="3"/>
  <c r="L89" i="3"/>
  <c r="M89" i="3"/>
  <c r="M88" i="3"/>
  <c r="I75" i="3"/>
  <c r="I135" i="3" s="1"/>
  <c r="I76" i="3"/>
  <c r="I136" i="3" s="1"/>
  <c r="D69" i="3"/>
  <c r="D129" i="3" s="1"/>
  <c r="D71" i="3"/>
  <c r="D131" i="3" s="1"/>
  <c r="D70" i="3"/>
  <c r="D130" i="3" s="1"/>
  <c r="D41" i="3"/>
  <c r="D11" i="2" s="1"/>
  <c r="D72" i="3"/>
  <c r="D132" i="3" s="1"/>
  <c r="D67" i="3"/>
  <c r="D127" i="3" s="1"/>
  <c r="D68" i="3"/>
  <c r="D128" i="3" s="1"/>
  <c r="L62" i="3"/>
  <c r="L120" i="3" s="1"/>
  <c r="L61" i="3"/>
  <c r="L119" i="3" s="1"/>
  <c r="M62" i="3"/>
  <c r="M120" i="3" s="1"/>
  <c r="M61" i="3"/>
  <c r="M119" i="3" s="1"/>
  <c r="J67" i="3"/>
  <c r="J127" i="3" s="1"/>
  <c r="J69" i="3"/>
  <c r="J129" i="3" s="1"/>
  <c r="J68" i="3"/>
  <c r="J128" i="3" s="1"/>
  <c r="J41" i="3"/>
  <c r="J11" i="2" s="1"/>
  <c r="J70" i="3"/>
  <c r="J130" i="3" s="1"/>
  <c r="J71" i="3"/>
  <c r="J131" i="3" s="1"/>
  <c r="J72" i="3"/>
  <c r="J132" i="3" s="1"/>
  <c r="F61" i="3"/>
  <c r="F119" i="3" s="1"/>
  <c r="F62" i="3"/>
  <c r="F120" i="3" s="1"/>
  <c r="G158" i="3"/>
  <c r="G69" i="2" s="1"/>
  <c r="G102" i="3"/>
  <c r="G164" i="3" s="1"/>
  <c r="H42" i="2"/>
  <c r="H17" i="2"/>
  <c r="H18" i="2"/>
  <c r="I18" i="2"/>
  <c r="I17" i="2"/>
  <c r="I42" i="2"/>
  <c r="E18" i="2"/>
  <c r="E42" i="2"/>
  <c r="E17" i="2"/>
  <c r="K80" i="3"/>
  <c r="K140" i="3" s="1"/>
  <c r="K81" i="3"/>
  <c r="K82" i="3"/>
  <c r="K142" i="3" s="1"/>
  <c r="K79" i="3"/>
  <c r="F88" i="3"/>
  <c r="F89" i="3"/>
  <c r="L69" i="3"/>
  <c r="L129" i="3" s="1"/>
  <c r="L71" i="3"/>
  <c r="L131" i="3" s="1"/>
  <c r="L70" i="3"/>
  <c r="L130" i="3" s="1"/>
  <c r="L41" i="3"/>
  <c r="L11" i="2" s="1"/>
  <c r="L67" i="3"/>
  <c r="L127" i="3" s="1"/>
  <c r="L68" i="3"/>
  <c r="L128" i="3" s="1"/>
  <c r="L72" i="3"/>
  <c r="L132" i="3" s="1"/>
  <c r="M80" i="3"/>
  <c r="M140" i="3" s="1"/>
  <c r="M79" i="3"/>
  <c r="M81" i="3"/>
  <c r="M82" i="3"/>
  <c r="M142" i="3" s="1"/>
  <c r="D88" i="3"/>
  <c r="D89" i="3"/>
  <c r="J161" i="3"/>
  <c r="J103" i="3"/>
  <c r="J165" i="3" s="1"/>
  <c r="D61" i="3"/>
  <c r="D119" i="3" s="1"/>
  <c r="D62" i="3"/>
  <c r="D120" i="3" s="1"/>
  <c r="I89" i="3"/>
  <c r="I88" i="3"/>
  <c r="D17" i="2"/>
  <c r="D18" i="2"/>
  <c r="D42" i="2"/>
  <c r="J158" i="3"/>
  <c r="J102" i="3"/>
  <c r="J164" i="3" s="1"/>
  <c r="M18" i="2"/>
  <c r="M42" i="2"/>
  <c r="M17" i="2"/>
  <c r="J79" i="3"/>
  <c r="J81" i="3"/>
  <c r="J80" i="3"/>
  <c r="J140" i="3" s="1"/>
  <c r="J82" i="3"/>
  <c r="J142" i="3" s="1"/>
  <c r="L17" i="2"/>
  <c r="L18" i="2"/>
  <c r="L42" i="2"/>
  <c r="I31" i="1"/>
  <c r="J2" i="1"/>
  <c r="F71" i="3"/>
  <c r="F131" i="3" s="1"/>
  <c r="F72" i="3"/>
  <c r="F132" i="3" s="1"/>
  <c r="F67" i="3"/>
  <c r="F127" i="3" s="1"/>
  <c r="F70" i="3"/>
  <c r="F130" i="3" s="1"/>
  <c r="F68" i="3"/>
  <c r="F128" i="3" s="1"/>
  <c r="F69" i="3"/>
  <c r="F129" i="3" s="1"/>
  <c r="F41" i="3"/>
  <c r="F11" i="2" s="1"/>
  <c r="E89" i="3"/>
  <c r="E88" i="3"/>
  <c r="I40" i="2"/>
  <c r="J75" i="3"/>
  <c r="J135" i="3" s="1"/>
  <c r="J76" i="3"/>
  <c r="J136" i="3" s="1"/>
  <c r="F158" i="3"/>
  <c r="F102" i="3"/>
  <c r="F164" i="3" s="1"/>
  <c r="E161" i="3"/>
  <c r="E103" i="3"/>
  <c r="E165" i="3" s="1"/>
  <c r="I70" i="3"/>
  <c r="I130" i="3" s="1"/>
  <c r="I41" i="3"/>
  <c r="I11" i="2" s="1"/>
  <c r="I72" i="3"/>
  <c r="I132" i="3" s="1"/>
  <c r="I71" i="3"/>
  <c r="I131" i="3" s="1"/>
  <c r="I68" i="3"/>
  <c r="I128" i="3" s="1"/>
  <c r="I69" i="3"/>
  <c r="I129" i="3" s="1"/>
  <c r="I67" i="3"/>
  <c r="I127" i="3" s="1"/>
  <c r="D81" i="3"/>
  <c r="D82" i="3"/>
  <c r="D142" i="3" s="1"/>
  <c r="D80" i="3"/>
  <c r="D140" i="3" s="1"/>
  <c r="D79" i="3"/>
  <c r="G80" i="3"/>
  <c r="G140" i="3" s="1"/>
  <c r="G82" i="3"/>
  <c r="G142" i="3" s="1"/>
  <c r="G81" i="3"/>
  <c r="G79" i="3"/>
  <c r="K76" i="3"/>
  <c r="K136" i="3" s="1"/>
  <c r="K75" i="3"/>
  <c r="K135" i="3" s="1"/>
  <c r="H67" i="3"/>
  <c r="H127" i="3" s="1"/>
  <c r="H72" i="3"/>
  <c r="H132" i="3" s="1"/>
  <c r="H71" i="3"/>
  <c r="H131" i="3" s="1"/>
  <c r="H68" i="3"/>
  <c r="H128" i="3" s="1"/>
  <c r="H69" i="3"/>
  <c r="H129" i="3" s="1"/>
  <c r="H41" i="3"/>
  <c r="H11" i="2" s="1"/>
  <c r="H20" i="2" s="1"/>
  <c r="H70" i="3"/>
  <c r="H130" i="3" s="1"/>
  <c r="F161" i="3"/>
  <c r="F103" i="3"/>
  <c r="F165" i="3" s="1"/>
  <c r="F75" i="3"/>
  <c r="F135" i="3" s="1"/>
  <c r="F76" i="3"/>
  <c r="F136" i="3" s="1"/>
  <c r="K158" i="3"/>
  <c r="K102" i="3"/>
  <c r="K164" i="3" s="1"/>
  <c r="G68" i="3"/>
  <c r="G128" i="3" s="1"/>
  <c r="G70" i="3"/>
  <c r="G130" i="3" s="1"/>
  <c r="G41" i="3"/>
  <c r="G11" i="2" s="1"/>
  <c r="G69" i="3"/>
  <c r="G129" i="3" s="1"/>
  <c r="G71" i="3"/>
  <c r="G131" i="3" s="1"/>
  <c r="G72" i="3"/>
  <c r="G132" i="3" s="1"/>
  <c r="G67" i="3"/>
  <c r="G127" i="3" s="1"/>
  <c r="I82" i="3"/>
  <c r="I142" i="3" s="1"/>
  <c r="I79" i="3"/>
  <c r="I80" i="3"/>
  <c r="I140" i="3" s="1"/>
  <c r="I81" i="3"/>
  <c r="M158" i="3"/>
  <c r="M69" i="2" s="1"/>
  <c r="M102" i="3"/>
  <c r="M164" i="3" s="1"/>
  <c r="K34" i="3"/>
  <c r="K6" i="2" s="1"/>
  <c r="I161" i="3"/>
  <c r="I103" i="3"/>
  <c r="I165" i="3" s="1"/>
  <c r="D75" i="3"/>
  <c r="D135" i="3" s="1"/>
  <c r="D76" i="3"/>
  <c r="D136" i="3" s="1"/>
  <c r="D32" i="3"/>
  <c r="E158" i="3"/>
  <c r="E102" i="3"/>
  <c r="E164" i="3" s="1"/>
  <c r="K161" i="3"/>
  <c r="K103" i="3"/>
  <c r="K165" i="3" s="1"/>
  <c r="E68" i="3"/>
  <c r="E128" i="3" s="1"/>
  <c r="E67" i="3"/>
  <c r="E127" i="3" s="1"/>
  <c r="E70" i="3"/>
  <c r="E130" i="3" s="1"/>
  <c r="E71" i="3"/>
  <c r="E131" i="3" s="1"/>
  <c r="E69" i="3"/>
  <c r="E129" i="3" s="1"/>
  <c r="E41" i="3"/>
  <c r="E11" i="2" s="1"/>
  <c r="E72" i="3"/>
  <c r="E132" i="3" s="1"/>
  <c r="G88" i="3"/>
  <c r="G89" i="3"/>
  <c r="D161" i="3"/>
  <c r="D103" i="3"/>
  <c r="D165" i="3" s="1"/>
  <c r="G119" i="3"/>
  <c r="G62" i="3"/>
  <c r="G120" i="3" s="1"/>
  <c r="K72" i="3"/>
  <c r="K132" i="3" s="1"/>
  <c r="K67" i="3"/>
  <c r="K127" i="3" s="1"/>
  <c r="K69" i="3"/>
  <c r="K129" i="3" s="1"/>
  <c r="K41" i="3"/>
  <c r="K11" i="2" s="1"/>
  <c r="K70" i="3"/>
  <c r="K130" i="3" s="1"/>
  <c r="K71" i="3"/>
  <c r="K131" i="3" s="1"/>
  <c r="K68" i="3"/>
  <c r="K128" i="3" s="1"/>
  <c r="H75" i="3"/>
  <c r="H135" i="3" s="1"/>
  <c r="H76" i="3"/>
  <c r="H136" i="3" s="1"/>
  <c r="J62" i="3"/>
  <c r="J120" i="3" s="1"/>
  <c r="J61" i="3"/>
  <c r="J119" i="3" s="1"/>
  <c r="F82" i="3"/>
  <c r="F142" i="3" s="1"/>
  <c r="F79" i="3"/>
  <c r="F80" i="3"/>
  <c r="F140" i="3" s="1"/>
  <c r="F81" i="3"/>
  <c r="L69" i="2" l="1"/>
  <c r="J69" i="2"/>
  <c r="J70" i="2" s="1"/>
  <c r="L57" i="2"/>
  <c r="H69" i="2"/>
  <c r="H70" i="2" s="1"/>
  <c r="K69" i="2"/>
  <c r="K70" i="2" s="1"/>
  <c r="F69" i="2"/>
  <c r="F70" i="2" s="1"/>
  <c r="D69" i="2"/>
  <c r="D70" i="2" s="1"/>
  <c r="I69" i="2"/>
  <c r="I70" i="2" s="1"/>
  <c r="E69" i="2"/>
  <c r="E70" i="2" s="1"/>
  <c r="J174" i="3"/>
  <c r="I174" i="3"/>
  <c r="H57" i="2"/>
  <c r="I57" i="2"/>
  <c r="H122" i="3"/>
  <c r="I122" i="3"/>
  <c r="M174" i="3"/>
  <c r="K174" i="3"/>
  <c r="H174" i="3"/>
  <c r="L20" i="2"/>
  <c r="L8" i="2"/>
  <c r="L122" i="3"/>
  <c r="J57" i="2"/>
  <c r="L7" i="2"/>
  <c r="M40" i="2"/>
  <c r="L174" i="3"/>
  <c r="M8" i="2"/>
  <c r="K57" i="2"/>
  <c r="M57" i="2"/>
  <c r="J122" i="3"/>
  <c r="M122" i="3"/>
  <c r="I8" i="2"/>
  <c r="J7" i="2"/>
  <c r="J40" i="2"/>
  <c r="I20" i="2"/>
  <c r="K122" i="3"/>
  <c r="F177" i="3"/>
  <c r="F63" i="2"/>
  <c r="L141" i="3"/>
  <c r="L85" i="3"/>
  <c r="L145" i="3" s="1"/>
  <c r="M41" i="2"/>
  <c r="M13" i="2"/>
  <c r="M12" i="2"/>
  <c r="M22" i="2" s="1"/>
  <c r="H176" i="3"/>
  <c r="H62" i="2"/>
  <c r="F149" i="3"/>
  <c r="F91" i="3"/>
  <c r="F151" i="3" s="1"/>
  <c r="H139" i="3"/>
  <c r="H84" i="3"/>
  <c r="H144" i="3" s="1"/>
  <c r="I180" i="3"/>
  <c r="I167" i="3"/>
  <c r="J90" i="3"/>
  <c r="J150" i="3" s="1"/>
  <c r="J148" i="3"/>
  <c r="K148" i="3"/>
  <c r="K90" i="3"/>
  <c r="K150" i="3" s="1"/>
  <c r="G175" i="3"/>
  <c r="G58" i="2"/>
  <c r="D55" i="3"/>
  <c r="D113" i="3" s="1"/>
  <c r="D57" i="3"/>
  <c r="D115" i="3" s="1"/>
  <c r="D56" i="3"/>
  <c r="D114" i="3" s="1"/>
  <c r="D34" i="3"/>
  <c r="D6" i="2" s="1"/>
  <c r="D53" i="3"/>
  <c r="D111" i="3" s="1"/>
  <c r="D54" i="3"/>
  <c r="D112" i="3" s="1"/>
  <c r="D58" i="3"/>
  <c r="D116" i="3" s="1"/>
  <c r="I141" i="3"/>
  <c r="I85" i="3"/>
  <c r="I145" i="3" s="1"/>
  <c r="G13" i="2"/>
  <c r="G12" i="2"/>
  <c r="G41" i="2"/>
  <c r="K177" i="3"/>
  <c r="K63" i="2"/>
  <c r="F148" i="3"/>
  <c r="F90" i="3"/>
  <c r="F150" i="3" s="1"/>
  <c r="D176" i="3"/>
  <c r="D62" i="2"/>
  <c r="M148" i="3"/>
  <c r="M90" i="3"/>
  <c r="M150" i="3" s="1"/>
  <c r="H175" i="3"/>
  <c r="H58" i="2"/>
  <c r="I175" i="3"/>
  <c r="I58" i="2"/>
  <c r="K149" i="3"/>
  <c r="K91" i="3"/>
  <c r="K151" i="3" s="1"/>
  <c r="E177" i="3"/>
  <c r="E63" i="2"/>
  <c r="H149" i="3"/>
  <c r="H91" i="3"/>
  <c r="H151" i="3" s="1"/>
  <c r="F8" i="2"/>
  <c r="F40" i="2"/>
  <c r="F7" i="2"/>
  <c r="F20" i="2"/>
  <c r="M139" i="3"/>
  <c r="M84" i="3"/>
  <c r="M144" i="3" s="1"/>
  <c r="M167" i="3"/>
  <c r="M70" i="2"/>
  <c r="M180" i="3"/>
  <c r="D141" i="3"/>
  <c r="D85" i="3"/>
  <c r="D145" i="3" s="1"/>
  <c r="F176" i="3"/>
  <c r="F62" i="2"/>
  <c r="J180" i="3"/>
  <c r="J167" i="3"/>
  <c r="K139" i="3"/>
  <c r="K84" i="3"/>
  <c r="K144" i="3" s="1"/>
  <c r="G180" i="3"/>
  <c r="G167" i="3"/>
  <c r="G70" i="2"/>
  <c r="M149" i="3"/>
  <c r="M91" i="3"/>
  <c r="M151" i="3" s="1"/>
  <c r="H180" i="3"/>
  <c r="H167" i="3"/>
  <c r="M177" i="3"/>
  <c r="M63" i="2"/>
  <c r="K175" i="3"/>
  <c r="K58" i="2"/>
  <c r="H90" i="3"/>
  <c r="H150" i="3" s="1"/>
  <c r="H148" i="3"/>
  <c r="E122" i="3"/>
  <c r="E174" i="3"/>
  <c r="E57" i="2"/>
  <c r="D139" i="3"/>
  <c r="D84" i="3"/>
  <c r="D144" i="3" s="1"/>
  <c r="I12" i="2"/>
  <c r="I22" i="2" s="1"/>
  <c r="I49" i="2" s="1"/>
  <c r="I41" i="2"/>
  <c r="I43" i="2" s="1"/>
  <c r="I13" i="2"/>
  <c r="J12" i="2"/>
  <c r="J41" i="2"/>
  <c r="J13" i="2"/>
  <c r="J24" i="2" s="1"/>
  <c r="J33" i="2" s="1"/>
  <c r="E176" i="3"/>
  <c r="E62" i="2"/>
  <c r="D177" i="3"/>
  <c r="D63" i="2"/>
  <c r="I139" i="3"/>
  <c r="I84" i="3"/>
  <c r="I144" i="3" s="1"/>
  <c r="H13" i="2"/>
  <c r="H24" i="2" s="1"/>
  <c r="H33" i="2" s="1"/>
  <c r="H41" i="2"/>
  <c r="H43" i="2" s="1"/>
  <c r="H12" i="2"/>
  <c r="H22" i="2" s="1"/>
  <c r="H49" i="2" s="1"/>
  <c r="G139" i="3"/>
  <c r="G84" i="3"/>
  <c r="G144" i="3" s="1"/>
  <c r="I176" i="3"/>
  <c r="I62" i="2"/>
  <c r="D149" i="3"/>
  <c r="D91" i="3"/>
  <c r="D151" i="3" s="1"/>
  <c r="L176" i="3"/>
  <c r="L62" i="2"/>
  <c r="J176" i="3"/>
  <c r="J62" i="2"/>
  <c r="D41" i="2"/>
  <c r="D13" i="2"/>
  <c r="D12" i="2"/>
  <c r="L149" i="3"/>
  <c r="L91" i="3"/>
  <c r="L151" i="3" s="1"/>
  <c r="G122" i="3"/>
  <c r="G57" i="2"/>
  <c r="G174" i="3"/>
  <c r="M176" i="3"/>
  <c r="M62" i="2"/>
  <c r="I91" i="3"/>
  <c r="I151" i="3" s="1"/>
  <c r="I149" i="3"/>
  <c r="L180" i="3"/>
  <c r="L167" i="3"/>
  <c r="L70" i="2"/>
  <c r="K13" i="2"/>
  <c r="K41" i="2"/>
  <c r="K12" i="2"/>
  <c r="G91" i="3"/>
  <c r="G151" i="3" s="1"/>
  <c r="G149" i="3"/>
  <c r="G141" i="3"/>
  <c r="G85" i="3"/>
  <c r="G145" i="3" s="1"/>
  <c r="E148" i="3"/>
  <c r="E90" i="3"/>
  <c r="E150" i="3" s="1"/>
  <c r="J141" i="3"/>
  <c r="J85" i="3"/>
  <c r="J145" i="3" s="1"/>
  <c r="D175" i="3"/>
  <c r="D58" i="2"/>
  <c r="D148" i="3"/>
  <c r="D90" i="3"/>
  <c r="D150" i="3" s="1"/>
  <c r="L41" i="2"/>
  <c r="L43" i="2" s="1"/>
  <c r="L13" i="2"/>
  <c r="L12" i="2"/>
  <c r="K141" i="3"/>
  <c r="K85" i="3"/>
  <c r="K145" i="3" s="1"/>
  <c r="F175" i="3"/>
  <c r="F58" i="2"/>
  <c r="M58" i="2"/>
  <c r="M175" i="3"/>
  <c r="L148" i="3"/>
  <c r="L90" i="3"/>
  <c r="L150" i="3" s="1"/>
  <c r="G40" i="2"/>
  <c r="G20" i="2"/>
  <c r="G8" i="2"/>
  <c r="G177" i="3"/>
  <c r="G63" i="2"/>
  <c r="D180" i="3"/>
  <c r="D167" i="3"/>
  <c r="F122" i="3"/>
  <c r="F174" i="3"/>
  <c r="F57" i="2"/>
  <c r="E41" i="2"/>
  <c r="E13" i="2"/>
  <c r="E12" i="2"/>
  <c r="H63" i="2"/>
  <c r="H177" i="3"/>
  <c r="M20" i="2"/>
  <c r="J175" i="3"/>
  <c r="J58" i="2"/>
  <c r="G148" i="3"/>
  <c r="G90" i="3"/>
  <c r="G150" i="3" s="1"/>
  <c r="G176" i="3"/>
  <c r="G62" i="2"/>
  <c r="K167" i="3"/>
  <c r="K180" i="3"/>
  <c r="F180" i="3"/>
  <c r="F167" i="3"/>
  <c r="E149" i="3"/>
  <c r="E91" i="3"/>
  <c r="E151" i="3" s="1"/>
  <c r="K2" i="1"/>
  <c r="J31" i="1"/>
  <c r="J139" i="3"/>
  <c r="J84" i="3"/>
  <c r="J144" i="3" s="1"/>
  <c r="H141" i="3"/>
  <c r="H85" i="3"/>
  <c r="H145" i="3" s="1"/>
  <c r="L177" i="3"/>
  <c r="L63" i="2"/>
  <c r="E141" i="3"/>
  <c r="E85" i="3"/>
  <c r="E145" i="3" s="1"/>
  <c r="L139" i="3"/>
  <c r="L84" i="3"/>
  <c r="L144" i="3" s="1"/>
  <c r="J177" i="3"/>
  <c r="J63" i="2"/>
  <c r="J149" i="3"/>
  <c r="J91" i="3"/>
  <c r="J151" i="3" s="1"/>
  <c r="F139" i="3"/>
  <c r="F84" i="3"/>
  <c r="F144" i="3" s="1"/>
  <c r="E180" i="3"/>
  <c r="E167" i="3"/>
  <c r="I63" i="2"/>
  <c r="I177" i="3"/>
  <c r="F141" i="3"/>
  <c r="F85" i="3"/>
  <c r="F145" i="3" s="1"/>
  <c r="K176" i="3"/>
  <c r="K62" i="2"/>
  <c r="K8" i="2"/>
  <c r="K40" i="2"/>
  <c r="K20" i="2"/>
  <c r="K7" i="2"/>
  <c r="F12" i="2"/>
  <c r="F13" i="2"/>
  <c r="F41" i="2"/>
  <c r="I148" i="3"/>
  <c r="I90" i="3"/>
  <c r="I150" i="3" s="1"/>
  <c r="J20" i="2"/>
  <c r="M141" i="3"/>
  <c r="M85" i="3"/>
  <c r="M145" i="3" s="1"/>
  <c r="L175" i="3"/>
  <c r="L58" i="2"/>
  <c r="E175" i="3"/>
  <c r="E58" i="2"/>
  <c r="E139" i="3"/>
  <c r="E84" i="3"/>
  <c r="E144" i="3" s="1"/>
  <c r="E8" i="2"/>
  <c r="E20" i="2"/>
  <c r="E7" i="2"/>
  <c r="E40" i="2"/>
  <c r="H30" i="2" l="1"/>
  <c r="H46" i="2"/>
  <c r="H51" i="2" s="1"/>
  <c r="I30" i="2"/>
  <c r="I46" i="2"/>
  <c r="I51" i="2" s="1"/>
  <c r="M30" i="2"/>
  <c r="M46" i="2"/>
  <c r="M51" i="2" s="1"/>
  <c r="L59" i="2"/>
  <c r="I59" i="2"/>
  <c r="M59" i="2"/>
  <c r="H59" i="2"/>
  <c r="M24" i="2"/>
  <c r="M33" i="2" s="1"/>
  <c r="J22" i="2"/>
  <c r="J49" i="2" s="1"/>
  <c r="M43" i="2"/>
  <c r="L22" i="2"/>
  <c r="J59" i="2"/>
  <c r="J43" i="2"/>
  <c r="L24" i="2"/>
  <c r="L33" i="2" s="1"/>
  <c r="K59" i="2"/>
  <c r="E153" i="3"/>
  <c r="E169" i="3" s="1"/>
  <c r="E43" i="2"/>
  <c r="M153" i="3"/>
  <c r="M169" i="3" s="1"/>
  <c r="K24" i="2"/>
  <c r="K33" i="2" s="1"/>
  <c r="G49" i="2"/>
  <c r="K43" i="2"/>
  <c r="I24" i="2"/>
  <c r="I33" i="2" s="1"/>
  <c r="G59" i="2"/>
  <c r="L153" i="3"/>
  <c r="L169" i="3" s="1"/>
  <c r="E24" i="2"/>
  <c r="E33" i="2" s="1"/>
  <c r="K22" i="2"/>
  <c r="G24" i="2"/>
  <c r="G33" i="2" s="1"/>
  <c r="D153" i="3"/>
  <c r="H76" i="2"/>
  <c r="G5" i="1" s="1"/>
  <c r="G46" i="1" s="1"/>
  <c r="K153" i="3"/>
  <c r="K169" i="3" s="1"/>
  <c r="I153" i="3"/>
  <c r="I169" i="3" s="1"/>
  <c r="H153" i="3"/>
  <c r="H169" i="3" s="1"/>
  <c r="G178" i="3"/>
  <c r="G64" i="2"/>
  <c r="F178" i="3"/>
  <c r="F64" i="2"/>
  <c r="L178" i="3"/>
  <c r="L64" i="2"/>
  <c r="G179" i="3"/>
  <c r="G65" i="2"/>
  <c r="F153" i="3"/>
  <c r="F169" i="3" s="1"/>
  <c r="D122" i="3"/>
  <c r="D174" i="3"/>
  <c r="D57" i="2"/>
  <c r="D59" i="2" s="1"/>
  <c r="D40" i="2"/>
  <c r="D43" i="2" s="1"/>
  <c r="D20" i="2"/>
  <c r="D7" i="2"/>
  <c r="D22" i="2" s="1"/>
  <c r="D30" i="2" s="1"/>
  <c r="D8" i="2"/>
  <c r="D24" i="2" s="1"/>
  <c r="D33" i="2" s="1"/>
  <c r="J178" i="3"/>
  <c r="J64" i="2"/>
  <c r="G43" i="2"/>
  <c r="D178" i="3"/>
  <c r="D64" i="2"/>
  <c r="K179" i="3"/>
  <c r="K65" i="2"/>
  <c r="F24" i="2"/>
  <c r="F33" i="2" s="1"/>
  <c r="E178" i="3"/>
  <c r="E64" i="2"/>
  <c r="J153" i="3"/>
  <c r="J169" i="3" s="1"/>
  <c r="E59" i="2"/>
  <c r="F179" i="3"/>
  <c r="F65" i="2"/>
  <c r="J179" i="3"/>
  <c r="J65" i="2"/>
  <c r="L2" i="1"/>
  <c r="L31" i="1" s="1"/>
  <c r="K31" i="1"/>
  <c r="F59" i="2"/>
  <c r="L179" i="3"/>
  <c r="L65" i="2"/>
  <c r="I178" i="3"/>
  <c r="I64" i="2"/>
  <c r="M178" i="3"/>
  <c r="M64" i="2"/>
  <c r="K178" i="3"/>
  <c r="K64" i="2"/>
  <c r="M179" i="3"/>
  <c r="M65" i="2"/>
  <c r="F43" i="2"/>
  <c r="D179" i="3"/>
  <c r="D65" i="2"/>
  <c r="E22" i="2"/>
  <c r="E30" i="2" s="1"/>
  <c r="E51" i="2" s="1"/>
  <c r="I179" i="3"/>
  <c r="I65" i="2"/>
  <c r="G153" i="3"/>
  <c r="G169" i="3" s="1"/>
  <c r="E179" i="3"/>
  <c r="E65" i="2"/>
  <c r="H179" i="3"/>
  <c r="H65" i="2"/>
  <c r="F22" i="2"/>
  <c r="F30" i="2" s="1"/>
  <c r="F51" i="2" s="1"/>
  <c r="H178" i="3"/>
  <c r="H64" i="2"/>
  <c r="G46" i="2" l="1"/>
  <c r="G51" i="2" s="1"/>
  <c r="L30" i="2"/>
  <c r="L46" i="2"/>
  <c r="L51" i="2" s="1"/>
  <c r="L76" i="2" s="1"/>
  <c r="K5" i="1" s="1"/>
  <c r="K30" i="2"/>
  <c r="K46" i="2"/>
  <c r="K51" i="2" s="1"/>
  <c r="K76" i="2" s="1"/>
  <c r="J5" i="1" s="1"/>
  <c r="J30" i="2"/>
  <c r="J46" i="2"/>
  <c r="D51" i="2"/>
  <c r="D76" i="2" s="1"/>
  <c r="C5" i="1" s="1"/>
  <c r="I76" i="2"/>
  <c r="H5" i="1" s="1"/>
  <c r="H46" i="1" s="1"/>
  <c r="M76" i="2"/>
  <c r="L5" i="1" s="1"/>
  <c r="E76" i="2"/>
  <c r="D5" i="1" s="1"/>
  <c r="M66" i="2"/>
  <c r="M72" i="2" s="1"/>
  <c r="M75" i="2" s="1"/>
  <c r="D169" i="3"/>
  <c r="E66" i="2"/>
  <c r="E72" i="2" s="1"/>
  <c r="E75" i="2" s="1"/>
  <c r="L66" i="2"/>
  <c r="L72" i="2" s="1"/>
  <c r="L75" i="2" s="1"/>
  <c r="K4" i="1" s="1"/>
  <c r="F66" i="2"/>
  <c r="F72" i="2" s="1"/>
  <c r="F75" i="2" s="1"/>
  <c r="K66" i="2"/>
  <c r="K72" i="2" s="1"/>
  <c r="K75" i="2" s="1"/>
  <c r="G66" i="2"/>
  <c r="G72" i="2" s="1"/>
  <c r="G75" i="2" s="1"/>
  <c r="F4" i="1" s="1"/>
  <c r="I66" i="2"/>
  <c r="I72" i="2" s="1"/>
  <c r="I75" i="2" s="1"/>
  <c r="D66" i="2"/>
  <c r="D72" i="2" s="1"/>
  <c r="D75" i="2" s="1"/>
  <c r="J66" i="2"/>
  <c r="J72" i="2" s="1"/>
  <c r="J75" i="2" s="1"/>
  <c r="H66" i="2"/>
  <c r="H72" i="2" s="1"/>
  <c r="H75" i="2" s="1"/>
  <c r="H77" i="2" s="1"/>
  <c r="F76" i="2"/>
  <c r="E5" i="1" s="1"/>
  <c r="J51" i="2" l="1"/>
  <c r="J76" i="2" s="1"/>
  <c r="I77" i="2"/>
  <c r="G76" i="2"/>
  <c r="F5" i="1" s="1"/>
  <c r="F46" i="1" s="1"/>
  <c r="M77" i="2"/>
  <c r="K6" i="1"/>
  <c r="K18" i="1" s="1"/>
  <c r="L4" i="1"/>
  <c r="L6" i="1" s="1"/>
  <c r="L18" i="1" s="1"/>
  <c r="L77" i="2"/>
  <c r="K77" i="2"/>
  <c r="J4" i="1"/>
  <c r="J6" i="1" s="1"/>
  <c r="J18" i="1" s="1"/>
  <c r="H4" i="1"/>
  <c r="H45" i="1" s="1"/>
  <c r="H47" i="1" s="1"/>
  <c r="I4" i="1"/>
  <c r="G4" i="1"/>
  <c r="G45" i="1" s="1"/>
  <c r="G47" i="1" s="1"/>
  <c r="G51" i="1" s="1"/>
  <c r="G77" i="2"/>
  <c r="E77" i="2"/>
  <c r="D4" i="1"/>
  <c r="F77" i="2"/>
  <c r="E4" i="1"/>
  <c r="D77" i="2"/>
  <c r="C4" i="1"/>
  <c r="F45" i="1"/>
  <c r="I5" i="1" l="1"/>
  <c r="I46" i="1" s="1"/>
  <c r="J46" i="1" s="1"/>
  <c r="J77" i="2"/>
  <c r="F6" i="1"/>
  <c r="F18" i="1" s="1"/>
  <c r="I45" i="1"/>
  <c r="I47" i="1" s="1"/>
  <c r="I51" i="1" s="1"/>
  <c r="H51" i="1"/>
  <c r="H6" i="1"/>
  <c r="H18" i="1" s="1"/>
  <c r="G6" i="1"/>
  <c r="G18" i="1" s="1"/>
  <c r="E6" i="1"/>
  <c r="F47" i="1"/>
  <c r="D6" i="1"/>
  <c r="C6" i="1"/>
  <c r="I6" i="1" l="1"/>
  <c r="I18" i="1" s="1"/>
  <c r="J47" i="1"/>
  <c r="J45" i="1"/>
  <c r="C18" i="1"/>
  <c r="D18" i="1"/>
  <c r="F51" i="1"/>
  <c r="J51" i="1" s="1"/>
  <c r="E18" i="1"/>
  <c r="E20" i="1" l="1"/>
  <c r="D20" i="1"/>
  <c r="C20" i="1"/>
  <c r="F19" i="1" l="1"/>
  <c r="F52" i="1" s="1"/>
  <c r="F53" i="1" s="1"/>
  <c r="F32" i="1"/>
  <c r="G32" i="1" s="1"/>
  <c r="F20" i="1" l="1"/>
  <c r="H32" i="1"/>
  <c r="G34" i="1"/>
  <c r="G19" i="1" s="1"/>
  <c r="G20" i="1" l="1"/>
  <c r="G52" i="1"/>
  <c r="I32" i="1"/>
  <c r="H34" i="1"/>
  <c r="H19" i="1" s="1"/>
  <c r="H20" i="1" l="1"/>
  <c r="H52" i="1"/>
  <c r="H53" i="1" s="1"/>
  <c r="G53" i="1"/>
  <c r="J32" i="1"/>
  <c r="I34" i="1"/>
  <c r="I19" i="1" s="1"/>
  <c r="I20" i="1" l="1"/>
  <c r="I52" i="1"/>
  <c r="K32" i="1"/>
  <c r="J34" i="1"/>
  <c r="J19" i="1" s="1"/>
  <c r="J20" i="1" s="1"/>
  <c r="K34" i="1" l="1"/>
  <c r="K19" i="1" s="1"/>
  <c r="K20" i="1" s="1"/>
  <c r="L32" i="1"/>
  <c r="L34" i="1" s="1"/>
  <c r="L19" i="1" s="1"/>
  <c r="L20" i="1" s="1"/>
  <c r="I53" i="1"/>
  <c r="J5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Klingeman, Derek S</author>
  </authors>
  <commentList>
    <comment ref="N8" authorId="0" shapeId="0" xr:uid="{03D889E2-BFD5-4BCD-BBAC-6F6C503D7DF4}">
      <text>
        <r>
          <rPr>
            <sz val="9"/>
            <color indexed="81"/>
            <rFont val="Tahoma"/>
            <family val="2"/>
          </rPr>
          <t xml:space="preserve">Please see notes in margin to right of highlighted cells for identification of where data comes from.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Shlanta, Karl S</author>
    <author>Gouin, Andre</author>
  </authors>
  <commentList>
    <comment ref="B2" authorId="0" shapeId="0" xr:uid="{0389C5B4-87DC-43D5-9535-1703C3F725E6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Max of 20 years due to Modeling constraints
WHOLE NUMBERS ONLY</t>
        </r>
      </text>
    </comment>
    <comment ref="C2" authorId="0" shapeId="0" xr:uid="{ABAE7168-9EFE-47E3-9CD5-3675EBB3F5B7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D2" authorId="0" shapeId="0" xr:uid="{F8143220-5FCE-4842-A5E2-2A7459401642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E2" authorId="0" shapeId="0" xr:uid="{597E10F0-3564-42B8-8541-2ECB903BD8C0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F2" authorId="0" shapeId="0" xr:uid="{90EE73D2-3FE8-431F-A771-351BB138BA9E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G2" authorId="0" shapeId="0" xr:uid="{CB1D7227-E788-4EFC-BC87-EF531DE8FAD0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H2" authorId="0" shapeId="0" xr:uid="{787B5582-576D-44BD-A9FE-39F3508E8CEE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Direct Payments to customers</t>
        </r>
      </text>
    </comment>
    <comment ref="I2" authorId="0" shapeId="0" xr:uid="{185B1CF2-978A-47EE-ABC7-A811CC2FD369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Costs Borne By Customers</t>
        </r>
      </text>
    </comment>
    <comment ref="R25" authorId="1" shapeId="0" xr:uid="{95E90DD7-DCAF-4E60-B6A3-912314119805}">
      <text>
        <r>
          <rPr>
            <b/>
            <sz val="9"/>
            <color indexed="81"/>
            <rFont val="Tahoma"/>
            <family val="2"/>
          </rPr>
          <t>Gouin, Andre: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Shlanta, Karl S</author>
    <author>Gouin, Andre</author>
  </authors>
  <commentList>
    <comment ref="B2" authorId="0" shapeId="0" xr:uid="{B77D63B9-5BBD-4B49-9F23-3B3CEF9664C4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Max of 20 years due to Modeling constraints
WHOLE NUMBERS ONLY</t>
        </r>
      </text>
    </comment>
    <comment ref="C2" authorId="0" shapeId="0" xr:uid="{B5622ACB-C015-4D25-BA37-A1800644231B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D2" authorId="0" shapeId="0" xr:uid="{8058920C-6136-4E17-8A24-0A66C628E8ED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E2" authorId="0" shapeId="0" xr:uid="{D93439C8-640A-4250-A072-D8914CC10F1F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F2" authorId="0" shapeId="0" xr:uid="{3F239187-0D36-4710-9669-8AB8B69BD950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G2" authorId="0" shapeId="0" xr:uid="{B33FD5C4-5100-4187-976A-C609874BDE29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H2" authorId="0" shapeId="0" xr:uid="{D1203FDB-4E69-427D-A698-7C0D4D21DC17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Direct Payments to customers</t>
        </r>
      </text>
    </comment>
    <comment ref="I2" authorId="0" shapeId="0" xr:uid="{26CD1D84-5FB5-4272-A8E9-3467CECCF9D1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Costs Borne By Customers</t>
        </r>
      </text>
    </comment>
    <comment ref="R2" authorId="1" shapeId="0" xr:uid="{E8A5C5C4-9735-488E-895D-C2584B8E2E1C}">
      <text>
        <r>
          <rPr>
            <b/>
            <sz val="9"/>
            <color indexed="81"/>
            <rFont val="Tahoma"/>
            <family val="2"/>
          </rPr>
          <t>Gouin, Andre: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Shlanta, Karl S</author>
  </authors>
  <commentList>
    <comment ref="B2" authorId="0" shapeId="0" xr:uid="{F4BE0FB8-6437-436B-8675-203D76135447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Max of 20 years due to Modeling constraints
WHOLE NUMBERS ONLY</t>
        </r>
      </text>
    </comment>
    <comment ref="C2" authorId="0" shapeId="0" xr:uid="{3B186621-682D-4061-9BDE-86E3DE663857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D2" authorId="0" shapeId="0" xr:uid="{1F7A8B94-0383-4DCF-AE7A-10B7C8DA4A80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E2" authorId="0" shapeId="0" xr:uid="{4D23792F-0664-4BDF-9DAD-0036697018EE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F2" authorId="0" shapeId="0" xr:uid="{EBE617C2-15DC-45F7-ADAB-21E916D87A9D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G2" authorId="0" shapeId="0" xr:uid="{4A5B1361-5F4B-4CAD-B6C0-6145ED5AF1F1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H2" authorId="0" shapeId="0" xr:uid="{AFB240F1-3EF1-467E-91C8-EF7E8E1ACADC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Direct Payments to customers</t>
        </r>
      </text>
    </comment>
    <comment ref="I2" authorId="0" shapeId="0" xr:uid="{404F69AA-FEFC-40FB-83FD-5FA6BD2F742A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Costs Borne By Customers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Shlanta, Karl S</author>
  </authors>
  <commentList>
    <comment ref="B2" authorId="0" shapeId="0" xr:uid="{34D11C67-E1D8-4198-92A7-EDC891E4232B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Max of 20 years due to Modeling constraints
WHOLE NUMBERS ONLY</t>
        </r>
      </text>
    </comment>
    <comment ref="C2" authorId="0" shapeId="0" xr:uid="{EED9138F-206E-4DA1-92B5-C36704D6112C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D2" authorId="0" shapeId="0" xr:uid="{7F833B54-75C3-4273-8597-2080D01BE16E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E2" authorId="0" shapeId="0" xr:uid="{5B51DC53-5F2D-4518-A36C-38DD099BAF67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F2" authorId="0" shapeId="0" xr:uid="{405EDAAD-5D55-4142-A96D-568B152E9BBC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G2" authorId="0" shapeId="0" xr:uid="{21F02816-B5EE-4EE0-9C0E-4B4BBB579D53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Savings are positive
Usage is negative</t>
        </r>
      </text>
    </comment>
    <comment ref="H2" authorId="0" shapeId="0" xr:uid="{792586B9-1171-4772-B5C4-FB41A0D6B72B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Direct Payments to customers</t>
        </r>
      </text>
    </comment>
    <comment ref="I2" authorId="0" shapeId="0" xr:uid="{52FFB626-D89E-4DAE-9FC9-230DF87102C8}">
      <text>
        <r>
          <rPr>
            <b/>
            <sz val="9"/>
            <color indexed="81"/>
            <rFont val="Tahoma"/>
            <family val="2"/>
          </rPr>
          <t>Shlanta, Karl S:</t>
        </r>
        <r>
          <rPr>
            <sz val="9"/>
            <color indexed="81"/>
            <rFont val="Tahoma"/>
            <family val="2"/>
          </rPr>
          <t xml:space="preserve">
Costs Borne By Customers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<sst xmlns="http://schemas.openxmlformats.org/spreadsheetml/2006/main" count="1672" uniqueCount="525">
  <si>
    <t>Incremental EVs from Dec 31 2020</t>
  </si>
  <si>
    <t>Revenue from EV Charging</t>
  </si>
  <si>
    <t xml:space="preserve">+ Cost to Serve EV Charging              </t>
  </si>
  <si>
    <t>= Net Revenue from EV Charging (A)</t>
  </si>
  <si>
    <t>Rev Req Filing 1 - 11/1/2023</t>
  </si>
  <si>
    <t>from TEP Budget</t>
  </si>
  <si>
    <t>Rev Req Filing 2 - 1H24</t>
  </si>
  <si>
    <t xml:space="preserve">- Operating Revenues    </t>
  </si>
  <si>
    <t>= Total Proposed TEP (B)</t>
  </si>
  <si>
    <t>Prior Approved TEP Capital</t>
  </si>
  <si>
    <t>+ EVSI Deferred Assets</t>
  </si>
  <si>
    <t xml:space="preserve">+ PIM                                         </t>
  </si>
  <si>
    <t>= Total Other Related Costs (C)</t>
  </si>
  <si>
    <t>= Total Retail Rate Impact (A+B+C)</t>
  </si>
  <si>
    <t xml:space="preserve">÷ Approximate Total Retail Revenues </t>
  </si>
  <si>
    <t>= Retail Rate Impact - Percentage</t>
  </si>
  <si>
    <t>Key Assumptions</t>
  </si>
  <si>
    <t>PIM</t>
  </si>
  <si>
    <t>assumption</t>
  </si>
  <si>
    <t>Retail Rate Inflation %</t>
  </si>
  <si>
    <t>Retail Revenue Forecast</t>
  </si>
  <si>
    <t>Average Retail Rate ($/kWh)</t>
  </si>
  <si>
    <t>Total Sales (MWh)</t>
  </si>
  <si>
    <t>Aug 2023  forecast</t>
  </si>
  <si>
    <t>Total Retail Revenues ($)</t>
  </si>
  <si>
    <t>2024 Ordered Test Year</t>
  </si>
  <si>
    <t>Summary Table</t>
  </si>
  <si>
    <t>Total</t>
  </si>
  <si>
    <t>+ Cost to Serve EV Charging</t>
  </si>
  <si>
    <t>= Net Revenue from EV Charging</t>
  </si>
  <si>
    <t>+ TEP Revenue Requirement</t>
  </si>
  <si>
    <t>+ Prior Approved Capital</t>
  </si>
  <si>
    <t>+ PIM</t>
  </si>
  <si>
    <t>= Retail Rate Impact</t>
  </si>
  <si>
    <t>System Impacts</t>
  </si>
  <si>
    <t>Home Charging</t>
  </si>
  <si>
    <t>Energy (kWh)</t>
  </si>
  <si>
    <t>Coincident Peak (kW)</t>
  </si>
  <si>
    <t>Non-Coincident Peak (kW)</t>
  </si>
  <si>
    <t>Work Charging</t>
  </si>
  <si>
    <t>Public Charging</t>
  </si>
  <si>
    <t>Total Energy (kWh)</t>
  </si>
  <si>
    <t>Total Coincident Peak Contribution (kW)</t>
  </si>
  <si>
    <t>Total Non-Coincident Peak Contribution (kW)</t>
  </si>
  <si>
    <t>System Costs</t>
  </si>
  <si>
    <t>Generation Capacity ($/kW)</t>
  </si>
  <si>
    <t>CCOSS cell O118</t>
  </si>
  <si>
    <t>Generation Capaacity ($)</t>
  </si>
  <si>
    <t>Distribution  Capacity ($/kW)</t>
  </si>
  <si>
    <t>CCOSS cell O119</t>
  </si>
  <si>
    <t>Distribution  Capacity ($)</t>
  </si>
  <si>
    <t>Marginal Energy ($/kWh)</t>
  </si>
  <si>
    <t xml:space="preserve">Home </t>
  </si>
  <si>
    <t xml:space="preserve">Work </t>
  </si>
  <si>
    <t xml:space="preserve">Public </t>
  </si>
  <si>
    <t>Marginal Energy ($)</t>
  </si>
  <si>
    <t>Total Marginal Energy Costs</t>
  </si>
  <si>
    <t>MISO Costs/KW-yr</t>
  </si>
  <si>
    <t>MISO Costs ($)</t>
  </si>
  <si>
    <t>MISO Reserve Margin $/KW-mon</t>
  </si>
  <si>
    <t>MISO Reserve Margin ($)</t>
  </si>
  <si>
    <t>Total Cost to Serve</t>
  </si>
  <si>
    <t>Net Revenues Calculation</t>
  </si>
  <si>
    <t>Home Charging Revenues</t>
  </si>
  <si>
    <t>A72, A74</t>
  </si>
  <si>
    <t>Total Home Charging Revenues ($)</t>
  </si>
  <si>
    <t>Work Charging Revenues</t>
  </si>
  <si>
    <t>A10</t>
  </si>
  <si>
    <t>Total Work Charging Revenues ($)</t>
  </si>
  <si>
    <t>Public Charging Revenues</t>
  </si>
  <si>
    <t>A94</t>
  </si>
  <si>
    <t>Total Public Charging Revenues ($)</t>
  </si>
  <si>
    <t>Total Charging Revenues ($)</t>
  </si>
  <si>
    <t>Total Charging Revenue</t>
  </si>
  <si>
    <t>less Cost to Serve</t>
  </si>
  <si>
    <t>Net Revenue Impact from EV Charging ($)</t>
  </si>
  <si>
    <t>Drivers</t>
  </si>
  <si>
    <t>EV Count</t>
  </si>
  <si>
    <t>LDV</t>
  </si>
  <si>
    <t>MDV</t>
  </si>
  <si>
    <t>HDV</t>
  </si>
  <si>
    <t>Total Count</t>
  </si>
  <si>
    <t>MWh Load</t>
  </si>
  <si>
    <t>Total MWh Load</t>
  </si>
  <si>
    <t>% Load by Location</t>
  </si>
  <si>
    <t>Home</t>
  </si>
  <si>
    <t>2021 values based on actuals; 2030 values from GuideHouse forecast</t>
  </si>
  <si>
    <t>Work</t>
  </si>
  <si>
    <t>Public</t>
  </si>
  <si>
    <t>MWh Load by Location</t>
  </si>
  <si>
    <t>Charging by Rate Schedule</t>
  </si>
  <si>
    <t>insert assumptions for breakout by rate schedule</t>
  </si>
  <si>
    <t>Total Home Charging (MWh)</t>
  </si>
  <si>
    <t>Total Work Charging (MWh)</t>
  </si>
  <si>
    <t>Total Public Charging (MWh)</t>
  </si>
  <si>
    <t>Billing Volume Impacts</t>
  </si>
  <si>
    <t>Sch. RETOU</t>
  </si>
  <si>
    <t>Energy - Summer On-Peak (kWh)</t>
  </si>
  <si>
    <t>Energy - Summer Mid-Peak (kWh)</t>
  </si>
  <si>
    <t>Energy - Summer Off-Peak (kWh)</t>
  </si>
  <si>
    <t>Energy - Winter On-Peak (kWh)</t>
  </si>
  <si>
    <t>Energy - Winter Mid-Peak (kWh)</t>
  </si>
  <si>
    <t>Energy - Winter Off-Peak (kWh)</t>
  </si>
  <si>
    <t>Sch. R / ROO</t>
  </si>
  <si>
    <t>Energy - Summer (kWh)</t>
  </si>
  <si>
    <t>Energy - Winter (kWh)</t>
  </si>
  <si>
    <t>Sch. CTOU</t>
  </si>
  <si>
    <t>Sch. C</t>
  </si>
  <si>
    <t>Sch. S-EV-CPP</t>
  </si>
  <si>
    <t>Energy - CPP (kWh)</t>
  </si>
  <si>
    <t>Demand - Summer (kW)</t>
  </si>
  <si>
    <t>Demand - Winter (kW)</t>
  </si>
  <si>
    <t>Sch. SG</t>
  </si>
  <si>
    <t>Sch. S-EV</t>
  </si>
  <si>
    <t>Revenue Impacts</t>
  </si>
  <si>
    <t>Energy - Summer On-Peak</t>
  </si>
  <si>
    <t>Energy - Summer Mid-Peak</t>
  </si>
  <si>
    <t>Energy - Summer Off-Peak</t>
  </si>
  <si>
    <t>Energy - Winter On-Peak</t>
  </si>
  <si>
    <t>Energy - Winter Mid-Peak</t>
  </si>
  <si>
    <t>Energy - Winter Off-Peak</t>
  </si>
  <si>
    <t>Energy - Summer</t>
  </si>
  <si>
    <t>Energy - Winter</t>
  </si>
  <si>
    <t>Energy - CPP</t>
  </si>
  <si>
    <t>Demand - Summer</t>
  </si>
  <si>
    <t>Demand - Winter</t>
  </si>
  <si>
    <t>Total Revenue Impact from EV Charging ($)</t>
  </si>
  <si>
    <t>Average Rates ($/kWh)</t>
  </si>
  <si>
    <t>PSCO</t>
  </si>
  <si>
    <t>NSP</t>
  </si>
  <si>
    <t>A72, A74 - Residential TOU</t>
  </si>
  <si>
    <t>input applicable rates</t>
  </si>
  <si>
    <t>CIP</t>
  </si>
  <si>
    <t>RDF</t>
  </si>
  <si>
    <t>TCR</t>
  </si>
  <si>
    <t>RES</t>
  </si>
  <si>
    <t>All-In RES TOU Rates</t>
  </si>
  <si>
    <t>GRSA</t>
  </si>
  <si>
    <t>GRSA-E</t>
  </si>
  <si>
    <t>PCCA</t>
  </si>
  <si>
    <t>DSMCA</t>
  </si>
  <si>
    <t>ECA</t>
  </si>
  <si>
    <t>TCA</t>
  </si>
  <si>
    <t>TEPA</t>
  </si>
  <si>
    <t>EGCRR</t>
  </si>
  <si>
    <t>RESA</t>
  </si>
  <si>
    <t>CEPA</t>
  </si>
  <si>
    <t>All-In R / ROO Rates</t>
  </si>
  <si>
    <t>All-In CTOU Rates</t>
  </si>
  <si>
    <t>All-In A10 Rates</t>
  </si>
  <si>
    <t>All-In S-EV-CPP Rates</t>
  </si>
  <si>
    <t>All-In SG Rates</t>
  </si>
  <si>
    <t>All-In A94 Rates</t>
  </si>
  <si>
    <t>Select Scenario</t>
  </si>
  <si>
    <t>Mid</t>
  </si>
  <si>
    <t>EV Count (incremental from 2020)</t>
  </si>
  <si>
    <t>kWh/EV</t>
  </si>
  <si>
    <t>Year</t>
  </si>
  <si>
    <t>MN</t>
  </si>
  <si>
    <t>CO</t>
  </si>
  <si>
    <t>Low</t>
  </si>
  <si>
    <t>High</t>
  </si>
  <si>
    <t>"Vision"</t>
  </si>
  <si>
    <t>GH - Target</t>
  </si>
  <si>
    <t>GH - Scen.1</t>
  </si>
  <si>
    <t>forecast counts and load from various sources (Low/Mid/High/Vision come from Risk, GH come from GuideHouse)</t>
  </si>
  <si>
    <t>Month</t>
  </si>
  <si>
    <t>A72, A74 RES TOU</t>
  </si>
  <si>
    <t>Summer</t>
  </si>
  <si>
    <t>Winter</t>
  </si>
  <si>
    <t>On kWh</t>
  </si>
  <si>
    <t>Mid kWh</t>
  </si>
  <si>
    <t>Off kWh</t>
  </si>
  <si>
    <t>Total kWh</t>
  </si>
  <si>
    <t>Load Factor %</t>
  </si>
  <si>
    <t>On-peak (RETOU):</t>
  </si>
  <si>
    <t>3pm - 8pm</t>
  </si>
  <si>
    <t>On-peak (S-EV-CPP):</t>
  </si>
  <si>
    <t>2pm - 10pm</t>
  </si>
  <si>
    <t>Mid-peak (RETOU):</t>
  </si>
  <si>
    <t>6am - 3pm, 8pm-12am</t>
  </si>
  <si>
    <t>CPP (S-EV-CPP):</t>
  </si>
  <si>
    <t>varies</t>
  </si>
  <si>
    <t>Off-peak</t>
  </si>
  <si>
    <t>12am-6am</t>
  </si>
  <si>
    <t>Risk</t>
  </si>
  <si>
    <t>load shapes from Risk</t>
  </si>
  <si>
    <t>E3</t>
  </si>
  <si>
    <t>load shapes from E3</t>
  </si>
  <si>
    <t>EV Home Service Societal Benefit Analysis</t>
  </si>
  <si>
    <t>Step one: estimate emission avoidance</t>
  </si>
  <si>
    <r>
      <t>Passenger vehicle CO</t>
    </r>
    <r>
      <rPr>
        <b/>
        <vertAlign val="subscript"/>
        <sz val="12"/>
        <color theme="1"/>
        <rFont val="Calibri"/>
        <family val="2"/>
        <scheme val="minor"/>
      </rPr>
      <t>2</t>
    </r>
  </si>
  <si>
    <t>Emissions from ICE vehicle:</t>
  </si>
  <si>
    <t>Miles driven per vehicle per year</t>
  </si>
  <si>
    <t>Average mpg</t>
  </si>
  <si>
    <r>
      <t>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per gallon</t>
    </r>
  </si>
  <si>
    <r>
      <t>g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per mile</t>
    </r>
  </si>
  <si>
    <r>
      <t>short tons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/vehicle/year</t>
    </r>
  </si>
  <si>
    <t>EV efficiency:</t>
  </si>
  <si>
    <t>average kWh per mile</t>
  </si>
  <si>
    <t>kWh per vehicle per year</t>
  </si>
  <si>
    <r>
      <t>Emission avoidance Option 1 - utility-specific average CO</t>
    </r>
    <r>
      <rPr>
        <u/>
        <vertAlign val="subscript"/>
        <sz val="11"/>
        <color theme="1"/>
        <rFont val="Calibri"/>
        <family val="2"/>
        <scheme val="minor"/>
      </rPr>
      <t>2</t>
    </r>
    <r>
      <rPr>
        <u/>
        <sz val="11"/>
        <color theme="1"/>
        <rFont val="Calibri"/>
        <family val="2"/>
        <scheme val="minor"/>
      </rPr>
      <t xml:space="preserve"> rates</t>
    </r>
  </si>
  <si>
    <r>
      <t>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intensity (lbs/MWh)</t>
    </r>
  </si>
  <si>
    <r>
      <t>short tons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avoided per EV per year</t>
    </r>
  </si>
  <si>
    <r>
      <t>Emission avoidance Option 2 - MISO marginal CO</t>
    </r>
    <r>
      <rPr>
        <u/>
        <vertAlign val="subscript"/>
        <sz val="11"/>
        <color theme="1"/>
        <rFont val="Calibri"/>
        <family val="2"/>
        <scheme val="minor"/>
      </rPr>
      <t>2</t>
    </r>
    <r>
      <rPr>
        <u/>
        <sz val="11"/>
        <color theme="1"/>
        <rFont val="Calibri"/>
        <family val="2"/>
        <scheme val="minor"/>
      </rPr>
      <t xml:space="preserve"> rates</t>
    </r>
  </si>
  <si>
    <t>6</t>
  </si>
  <si>
    <t>7</t>
  </si>
  <si>
    <t>Emission avoidance Option 3 - 100% renewable charging, with RECs retired</t>
  </si>
  <si>
    <t>Passenger vehicle criteria pollutants</t>
  </si>
  <si>
    <t>8</t>
  </si>
  <si>
    <r>
      <t>NO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(pounds)</t>
    </r>
  </si>
  <si>
    <t>9</t>
  </si>
  <si>
    <t xml:space="preserve">NOx </t>
  </si>
  <si>
    <t>PM2.5</t>
  </si>
  <si>
    <r>
      <t>PM</t>
    </r>
    <r>
      <rPr>
        <vertAlign val="subscript"/>
        <sz val="11"/>
        <color theme="1"/>
        <rFont val="Calibri"/>
        <family val="2"/>
        <scheme val="minor"/>
      </rPr>
      <t>2.5</t>
    </r>
    <r>
      <rPr>
        <sz val="11"/>
        <color theme="1"/>
        <rFont val="Calibri"/>
        <family val="2"/>
        <scheme val="minor"/>
      </rPr>
      <t xml:space="preserve"> (pounds)</t>
    </r>
  </si>
  <si>
    <t>Emissions from EV:</t>
  </si>
  <si>
    <r>
      <t>NO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emission rate (lbs/MWh)</t>
    </r>
  </si>
  <si>
    <r>
      <t>PM</t>
    </r>
    <r>
      <rPr>
        <vertAlign val="subscript"/>
        <sz val="11"/>
        <color theme="1"/>
        <rFont val="Calibri"/>
        <family val="2"/>
        <scheme val="minor"/>
      </rPr>
      <t>2.5</t>
    </r>
    <r>
      <rPr>
        <sz val="11"/>
        <color theme="1"/>
        <rFont val="Calibri"/>
        <family val="2"/>
        <scheme val="minor"/>
      </rPr>
      <t xml:space="preserve"> emission rate (lbs/MWh)</t>
    </r>
  </si>
  <si>
    <r>
      <t>Pounds NO</t>
    </r>
    <r>
      <rPr>
        <vertAlign val="subscript"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per EV per year</t>
    </r>
  </si>
  <si>
    <r>
      <t>Pounds PM</t>
    </r>
    <r>
      <rPr>
        <vertAlign val="subscript"/>
        <sz val="11"/>
        <color theme="1"/>
        <rFont val="Calibri"/>
        <family val="2"/>
        <scheme val="minor"/>
      </rPr>
      <t>2.5</t>
    </r>
    <r>
      <rPr>
        <sz val="11"/>
        <color theme="1"/>
        <rFont val="Calibri"/>
        <family val="2"/>
        <scheme val="minor"/>
      </rPr>
      <t xml:space="preserve"> per EV per year</t>
    </r>
  </si>
  <si>
    <t>Emission avoidance</t>
  </si>
  <si>
    <r>
      <t xml:space="preserve">1 </t>
    </r>
    <r>
      <rPr>
        <sz val="10"/>
        <color theme="1"/>
        <rFont val="Calibri"/>
        <family val="2"/>
        <scheme val="minor"/>
      </rPr>
      <t>Based on Xcel Energy data.</t>
    </r>
  </si>
  <si>
    <r>
      <t xml:space="preserve">2 </t>
    </r>
    <r>
      <rPr>
        <sz val="10"/>
        <color theme="1"/>
        <rFont val="Calibri"/>
        <family val="2"/>
        <scheme val="minor"/>
      </rPr>
      <t xml:space="preserve">Based on current CAFÉ standard, per AFDC https://afdc.energy.gov/vehicles/electric_emissions_sources.html. </t>
    </r>
  </si>
  <si>
    <r>
      <t>3</t>
    </r>
    <r>
      <rPr>
        <sz val="10"/>
        <color theme="1"/>
        <rFont val="Calibri"/>
        <family val="2"/>
        <scheme val="minor"/>
      </rPr>
      <t xml:space="preserve"> See EPA data at https://www.epa.gov/greenvehicles/greenhouse-gas-emissions-typical-passenger-vehicle-0.</t>
    </r>
  </si>
  <si>
    <r>
      <t xml:space="preserve">4 </t>
    </r>
    <r>
      <rPr>
        <sz val="10"/>
        <color theme="1"/>
        <rFont val="Calibri"/>
        <family val="2"/>
        <scheme val="minor"/>
      </rPr>
      <t>See https://afdc.energy.gov/vehicles/electric_emissions_sources.html.</t>
    </r>
  </si>
  <si>
    <r>
      <t xml:space="preserve">5 </t>
    </r>
    <r>
      <rPr>
        <sz val="10"/>
        <color theme="1"/>
        <rFont val="Calibri"/>
        <family val="2"/>
        <scheme val="minor"/>
      </rPr>
      <t>Per Upper Midwest Energy Plan - Preferred Plan filed 7/1/19 in E002/CI-19-368</t>
    </r>
  </si>
  <si>
    <r>
      <t>6</t>
    </r>
    <r>
      <rPr>
        <sz val="10"/>
        <color theme="1"/>
        <rFont val="Calibri"/>
        <family val="2"/>
        <scheme val="minor"/>
      </rPr>
      <t xml:space="preserve"> Lacking a forecast to 2030 of MISO marginal CO2 rates, as a proxy we use the "non-baseload" CO2 rate for MROW sub-region of MISO in eGRID2016. See https://www.epa.gov/energy/emissions-generation-resource-integrated-database-egrid.</t>
    </r>
  </si>
  <si>
    <r>
      <rPr>
        <vertAlign val="super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For comparison, according to WattTime's Automated Emission Reduction (AER) tool, the CO2 rate for MISO on the morning of July 7, 2019 was 1,861 lbs/MWh; the same evening, 1,580 lbs/MWh. See http://explorer.watttime.org.  </t>
    </r>
  </si>
  <si>
    <r>
      <rPr>
        <vertAlign val="superscript"/>
        <sz val="11"/>
        <color theme="1"/>
        <rFont val="Calibri"/>
        <family val="2"/>
        <scheme val="minor"/>
      </rPr>
      <t xml:space="preserve">8 </t>
    </r>
    <r>
      <rPr>
        <sz val="11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Based on Xcel Energy data.</t>
    </r>
  </si>
  <si>
    <r>
      <t xml:space="preserve">9  </t>
    </r>
    <r>
      <rPr>
        <sz val="10"/>
        <color theme="1"/>
        <rFont val="Calibri"/>
        <family val="2"/>
        <scheme val="minor"/>
      </rPr>
      <t>See https://www.pca.state.mn.us/air/vehicles-and-equipment.</t>
    </r>
  </si>
  <si>
    <r>
      <t xml:space="preserve">10 </t>
    </r>
    <r>
      <rPr>
        <sz val="10"/>
        <color theme="1"/>
        <rFont val="Calibri"/>
        <family val="2"/>
        <scheme val="minor"/>
      </rPr>
      <t>NOx rate under Preferred Plan filed 7/1/19</t>
    </r>
  </si>
  <si>
    <r>
      <t xml:space="preserve">11 </t>
    </r>
    <r>
      <rPr>
        <sz val="10"/>
        <color theme="1"/>
        <rFont val="Calibri"/>
        <family val="2"/>
        <scheme val="minor"/>
      </rPr>
      <t>PM2.5 rate under Preferred Plan filed 7/1/19</t>
    </r>
  </si>
  <si>
    <r>
      <t xml:space="preserve">12 </t>
    </r>
    <r>
      <rPr>
        <sz val="10"/>
        <color theme="1"/>
        <rFont val="Calibri"/>
        <family val="2"/>
        <scheme val="minor"/>
      </rPr>
      <t xml:space="preserve"> Note we do not have a MISO marginal rate for NOx and PM2.5 -- these are just based on Xcel Energy system, in both Low and High.</t>
    </r>
  </si>
  <si>
    <t>Step two: assign monetary values to avoided damages</t>
  </si>
  <si>
    <t>These are monetized damages from climate change (CO2) and public health and environment (criteria pollutants) using Commission's adopted externality ranges.</t>
  </si>
  <si>
    <t>CO2</t>
  </si>
  <si>
    <t>Escalated values</t>
  </si>
  <si>
    <t>Criteria pollutants</t>
  </si>
  <si>
    <t>Per Order:</t>
  </si>
  <si>
    <t>2015$ per short ton</t>
  </si>
  <si>
    <t>Nominal dollars per short ton</t>
  </si>
  <si>
    <t>2014$ per short ton</t>
  </si>
  <si>
    <t>Environmental Cost</t>
  </si>
  <si>
    <t>Rural</t>
  </si>
  <si>
    <t>Metropolitan fringe</t>
  </si>
  <si>
    <t>Urban</t>
  </si>
  <si>
    <t xml:space="preserve">Low </t>
  </si>
  <si>
    <t xml:space="preserve">Median </t>
  </si>
  <si>
    <r>
      <t>PM</t>
    </r>
    <r>
      <rPr>
        <vertAlign val="subscript"/>
        <sz val="11"/>
        <color theme="1"/>
        <rFont val="Calibri"/>
        <family val="2"/>
        <scheme val="minor"/>
      </rPr>
      <t>2.5</t>
    </r>
  </si>
  <si>
    <r>
      <t>NO</t>
    </r>
    <r>
      <rPr>
        <vertAlign val="subscript"/>
        <sz val="11"/>
        <color theme="1"/>
        <rFont val="Calibri"/>
        <family val="2"/>
        <scheme val="minor"/>
      </rPr>
      <t>x</t>
    </r>
  </si>
  <si>
    <r>
      <t>SO</t>
    </r>
    <r>
      <rPr>
        <vertAlign val="subscript"/>
        <sz val="11"/>
        <color theme="1"/>
        <rFont val="Calibri"/>
        <family val="2"/>
        <scheme val="minor"/>
      </rPr>
      <t>2</t>
    </r>
  </si>
  <si>
    <t>Escalated values (Urban)</t>
  </si>
  <si>
    <t>For criteria pollutants, used Urban values since Xcel Energy service territory largely urban</t>
  </si>
  <si>
    <t>Note these values are designed for stationary emission sources, and calculate damages based on exposed population in relation to location of source.</t>
  </si>
  <si>
    <t>We believe they are conservative estimates of damages, since mobile sources (vehicles) will generally be closer to impacted populations than power plants.</t>
  </si>
  <si>
    <t>Step three: estimate a range of societal benefit per EV per year</t>
  </si>
  <si>
    <t>Per conventional gasoline/diesel passenger vehicle replaced with an EV</t>
  </si>
  <si>
    <t>Basis</t>
  </si>
  <si>
    <r>
      <t>CO</t>
    </r>
    <r>
      <rPr>
        <vertAlign val="subscript"/>
        <sz val="11"/>
        <color theme="1"/>
        <rFont val="Calibri"/>
        <family val="2"/>
        <scheme val="minor"/>
      </rPr>
      <t>2</t>
    </r>
  </si>
  <si>
    <t>Low end</t>
  </si>
  <si>
    <t>Lowest avoided emission * low end of externality range</t>
  </si>
  <si>
    <t>Total 2020-2030, per EV</t>
  </si>
  <si>
    <t>High end</t>
  </si>
  <si>
    <t>Highest avoided emission * high end of externality range</t>
  </si>
  <si>
    <t>EV Home Service Participant Benefit Analysis</t>
  </si>
  <si>
    <t>Benefits</t>
  </si>
  <si>
    <t>Annual Miles Traveled</t>
  </si>
  <si>
    <t>(A)</t>
  </si>
  <si>
    <t>Average ICE Fuel Efficiency (MPG)</t>
  </si>
  <si>
    <t>(B)</t>
  </si>
  <si>
    <t>Average Fuel Price / Gallon of Gas</t>
  </si>
  <si>
    <t>( C)</t>
  </si>
  <si>
    <t>Avoided ICE Fuel Costs</t>
  </si>
  <si>
    <t>(D = A / B * C)</t>
  </si>
  <si>
    <t>( E)</t>
  </si>
  <si>
    <t>Average Maintenance Cost / Mile for ICE</t>
  </si>
  <si>
    <t>(F)</t>
  </si>
  <si>
    <t>Avoided ICE Maintenance Costs</t>
  </si>
  <si>
    <t>(G = E * F)</t>
  </si>
  <si>
    <t>Total Benefit</t>
  </si>
  <si>
    <t>(H = D + G)</t>
  </si>
  <si>
    <t>Costs</t>
  </si>
  <si>
    <t>EV Home Charging Costs</t>
  </si>
  <si>
    <t>(I)</t>
  </si>
  <si>
    <t>(J)</t>
  </si>
  <si>
    <t>Average Maintenance Cost / Mile for EV</t>
  </si>
  <si>
    <t>(K)</t>
  </si>
  <si>
    <t>EV Maintenance Costs</t>
  </si>
  <si>
    <t>(L = J * K)</t>
  </si>
  <si>
    <t>Total Costs</t>
  </si>
  <si>
    <t>(M = I + L)</t>
  </si>
  <si>
    <t>Annual Participant Cost Benefit</t>
  </si>
  <si>
    <t>(N = H - M)</t>
  </si>
  <si>
    <t>Based on blended forecast of national driving data and actual usage experienced on the Company’s Residential Electric Vehicle Service.</t>
  </si>
  <si>
    <t>Alternative Fuels Data Center. 2018. "Average Fuel Economy of Major Vehicle Categories." Retrieved 7/2/19: https://afdc.energy.gov/data/10310</t>
  </si>
  <si>
    <t>U.S. Energy Information Administration. 2019. "Weekly Retail Gasoline and Diesel Prices." Retrieved 7/2/19: https://www.eia.gov/dnav/pet/PET_PRI_GND_A_EPMRU_PTE_DPGAL_W.htm</t>
  </si>
  <si>
    <t>Based on blended forecast of national driving data and actual usage experienced on the Company’s Residential Electric Vehicle Service</t>
  </si>
  <si>
    <t>AAA Exchange. 2018. "Your Driving Costs.  How much are you really paying to drive? 2018 Edition." Retrieved 7/24/19: https://exchange.aaa.com/wp-content/uploads/2018/09/18-0090_2018-Your-Driving-Costs-Brochure_FNL-Lo-5-2.pdf</t>
  </si>
  <si>
    <t>TEP Inputs</t>
  </si>
  <si>
    <t>2024 ARR Values</t>
  </si>
  <si>
    <t>Gasoline Cost</t>
  </si>
  <si>
    <t>Gasoline Externalities</t>
  </si>
  <si>
    <t>Diesel Cost</t>
  </si>
  <si>
    <t>Diesel Externalities</t>
  </si>
  <si>
    <t>Societal Carbon Benefit</t>
  </si>
  <si>
    <t>Utility T&amp;D</t>
  </si>
  <si>
    <t>Societal T&amp;D</t>
  </si>
  <si>
    <t>Utility Generation</t>
  </si>
  <si>
    <t>Societal Generation</t>
  </si>
  <si>
    <t>Utility Marginal Energy</t>
  </si>
  <si>
    <t>Societal Marginal Energy</t>
  </si>
  <si>
    <t>Electric Environmental externalities</t>
  </si>
  <si>
    <t>RIM Bill Reduction</t>
  </si>
  <si>
    <t>Participant Bill Reduction</t>
  </si>
  <si>
    <t>Electric Carbon impact</t>
  </si>
  <si>
    <t>Gasoline Carbon intensity</t>
  </si>
  <si>
    <t>Gasoline Source energy conversion</t>
  </si>
  <si>
    <t>Diesel Carbon intensity</t>
  </si>
  <si>
    <t>Diesel Source energy conversion</t>
  </si>
  <si>
    <t>Societal Discount Rate</t>
  </si>
  <si>
    <t>Product Lifetime</t>
  </si>
  <si>
    <t>kWh Savings (EV kWh)</t>
  </si>
  <si>
    <t>Peak kW Savings</t>
  </si>
  <si>
    <t>Gasoline Savings (gallons)</t>
  </si>
  <si>
    <t>Diesel Savings (gallons)</t>
  </si>
  <si>
    <t>O&amp;M Savings</t>
  </si>
  <si>
    <t>Rebates</t>
  </si>
  <si>
    <t>EV Incremental Cost</t>
  </si>
  <si>
    <t>Electric Vehicles</t>
  </si>
  <si>
    <t>Transportation Electrification Plan</t>
  </si>
  <si>
    <t>GOAL</t>
  </si>
  <si>
    <t>LD EVs</t>
  </si>
  <si>
    <t>2024 Net Present Cost Benefit Summary  Analysis For All Participants Benefits (Positive Values) Costs (Negative Values)</t>
  </si>
  <si>
    <t>EBus</t>
  </si>
  <si>
    <t>Electric Rate</t>
  </si>
  <si>
    <t>Participant</t>
  </si>
  <si>
    <t>Utility</t>
  </si>
  <si>
    <t>Impact</t>
  </si>
  <si>
    <t>Societal</t>
  </si>
  <si>
    <t>Minnesota</t>
  </si>
  <si>
    <t>Test</t>
  </si>
  <si>
    <t>($Total)</t>
  </si>
  <si>
    <t>MN TEP Revenue Requirements</t>
  </si>
  <si>
    <t>Electric System Impacts</t>
  </si>
  <si>
    <t>CAPEX</t>
  </si>
  <si>
    <t>TEP Program Costs (CapEx Revenue Requirements)</t>
  </si>
  <si>
    <t>N/A</t>
  </si>
  <si>
    <t>O&amp;M</t>
  </si>
  <si>
    <t>Generation Capacity</t>
  </si>
  <si>
    <t>Transmission and Distribution Capacity</t>
  </si>
  <si>
    <t>Energy Generation</t>
  </si>
  <si>
    <t>Incremental EVs</t>
  </si>
  <si>
    <t>Market Effects and Ancillary Services</t>
  </si>
  <si>
    <t>School Bus Participants</t>
  </si>
  <si>
    <t>Subtotal</t>
  </si>
  <si>
    <t>EVSI Program Participants</t>
  </si>
  <si>
    <t>EVSE Program Participants</t>
  </si>
  <si>
    <t>Participation Rate</t>
  </si>
  <si>
    <t>TOU Off-Peak rate ($/kWh)</t>
  </si>
  <si>
    <t>Flat rate ($/kWh)</t>
  </si>
  <si>
    <t>Summer/non-summer blended</t>
  </si>
  <si>
    <t>Beneficial Electrification Impacts</t>
  </si>
  <si>
    <t>Off-peak/Flate rate ratio</t>
  </si>
  <si>
    <t>Lifetime (Weighted on Generator kWh)</t>
  </si>
  <si>
    <t>Environmental Externalities and Non-Energy  Impacts</t>
  </si>
  <si>
    <t>Electric Environmental Externalities</t>
  </si>
  <si>
    <t>T &amp; D Loss Factor (Energy)</t>
  </si>
  <si>
    <t>Gas Environmental Externalities</t>
  </si>
  <si>
    <t>T &amp; D Loss Factor (Demand)</t>
  </si>
  <si>
    <t>2025 ARR Values</t>
  </si>
  <si>
    <t>Other Fuels Environmental Externalities</t>
  </si>
  <si>
    <t>System Coincident kW Saved at Generator</t>
  </si>
  <si>
    <t>Electric Non-Energy Benefits</t>
  </si>
  <si>
    <t>Annual kWh Saved at Customer</t>
  </si>
  <si>
    <t>Gas Non-Energy Benefits</t>
  </si>
  <si>
    <t>Annual kWh Saved at Generator</t>
  </si>
  <si>
    <t>Other Fuels Benefits</t>
  </si>
  <si>
    <t>Annual Gallons of Gasoline Saved</t>
  </si>
  <si>
    <t>Utility Performance Incentives</t>
  </si>
  <si>
    <t>Annual Gallons of Diesel Saved</t>
  </si>
  <si>
    <t>Utility Non-Energy Benefits</t>
  </si>
  <si>
    <t>Incremental Evs</t>
  </si>
  <si>
    <t>Incremental EBuss</t>
  </si>
  <si>
    <t>Participant Impacts</t>
  </si>
  <si>
    <t>Electric Bill</t>
  </si>
  <si>
    <t>First year Carbon Emissions Reductions</t>
  </si>
  <si>
    <t>Gas Bill</t>
  </si>
  <si>
    <t>Participant Rebates and Incentives</t>
  </si>
  <si>
    <t>Incremental Capital</t>
  </si>
  <si>
    <t>Electric Electrification</t>
  </si>
  <si>
    <t>Incremental O&amp;M</t>
  </si>
  <si>
    <t>Other Fuel Electrification</t>
  </si>
  <si>
    <t>Utility Impacts</t>
  </si>
  <si>
    <t>TOTAL</t>
  </si>
  <si>
    <t>Utility Project Costs</t>
  </si>
  <si>
    <t>TEP Program Costs (O&amp;M Revenue Requirements)</t>
  </si>
  <si>
    <t>Lifetime Carbon Emissions Reductions</t>
  </si>
  <si>
    <t>Project Administration</t>
  </si>
  <si>
    <t>Advertising &amp; Promotion</t>
  </si>
  <si>
    <t>Measurement &amp; Verification</t>
  </si>
  <si>
    <t xml:space="preserve">Other </t>
  </si>
  <si>
    <t>2026 ARR Values</t>
  </si>
  <si>
    <t>Net Benefit (Cost)</t>
  </si>
  <si>
    <t>Benefit/Cost Ratio</t>
  </si>
  <si>
    <t>Note:  Dollar values represent present value of impacts accumulated over the lifetime of the measures.</t>
  </si>
  <si>
    <t>2025 Net Present Cost Benefit Summary  Analysis For All Participants Benefits (Positive Values) Costs (Negative Values)</t>
  </si>
  <si>
    <t>Incremental Ebus</t>
  </si>
  <si>
    <t>2026 Net Present Cost Benefit Summary  Analysis For All Participants Benefits (Positive Values) Costs (Negative Values)</t>
  </si>
  <si>
    <t>2027 Net Present Cost Benefit Summary  Analysis For All Participants Benefits (Positive Values) Costs (Negative Values)</t>
  </si>
  <si>
    <t>Diesel Avoided Carbon Benefit</t>
  </si>
  <si>
    <t>Gasoline Avoided Carbon Benefit</t>
  </si>
  <si>
    <t>Gasoline Avoided Cost</t>
  </si>
  <si>
    <t>Diesel Avoided Cost</t>
  </si>
  <si>
    <t>Source:  Karl Shlanta Regulatory Policy Specialist 10/19/2023</t>
  </si>
  <si>
    <t>$/kWh Bill Reduction (Rim Test)</t>
  </si>
  <si>
    <t>MN-RES-EV</t>
  </si>
  <si>
    <t>$/kWh Bill Reduction (Participant Test)</t>
  </si>
  <si>
    <t>$/kWh Electric Environmental Externality</t>
  </si>
  <si>
    <t>$/kWh Marginal Energy Benefit (SCT and MCT)</t>
  </si>
  <si>
    <t>$/kWh Marginal Energy Benefit (UCT and RIM)</t>
  </si>
  <si>
    <t>lb/kWh CO2</t>
  </si>
  <si>
    <t>$/kW T&amp;D (UCT and RIM)</t>
  </si>
  <si>
    <t>$/kW T&amp;D (SCT and MCT)</t>
  </si>
  <si>
    <t>$/kW Gen (UCT and RIM)</t>
  </si>
  <si>
    <t>$/kW Gen (SCT and MCT)</t>
  </si>
  <si>
    <t>Budget For 2023 TEP Filing</t>
  </si>
  <si>
    <t>MN TEP, Phase 1 - 11/1/2023</t>
  </si>
  <si>
    <t>2024-27</t>
  </si>
  <si>
    <t>Program</t>
  </si>
  <si>
    <t>RR Treatment</t>
  </si>
  <si>
    <t>Asset Category</t>
  </si>
  <si>
    <t>Advisory</t>
  </si>
  <si>
    <t>na</t>
  </si>
  <si>
    <t>Residential EVSE</t>
  </si>
  <si>
    <t>CAPEX (Opco-owned Asset)</t>
  </si>
  <si>
    <t>EVSE</t>
  </si>
  <si>
    <t>Residential Home Wiring</t>
  </si>
  <si>
    <t>Rebate (Treated as CAPEX for RRs)</t>
  </si>
  <si>
    <t>EVSI</t>
  </si>
  <si>
    <t>Commercial Pilot Bridge (Fleet and L2 PC)</t>
  </si>
  <si>
    <t>SB Pilot Grid</t>
  </si>
  <si>
    <t>Grid</t>
  </si>
  <si>
    <t>SB Pilot EVSI</t>
  </si>
  <si>
    <t>SB Pilot EVSE</t>
  </si>
  <si>
    <t>SB Pilot</t>
  </si>
  <si>
    <t>IT</t>
  </si>
  <si>
    <t>All</t>
  </si>
  <si>
    <t>Total Nov. 1, 23</t>
  </si>
  <si>
    <t>EV Forecast from Xcel Energy Risk Mid Case Forecast for MN Territory</t>
  </si>
  <si>
    <t>SPSC205 - Strategic Partnerships &amp; Ventures (SPV) - GH - All Documents (sharepoint.com)</t>
  </si>
  <si>
    <t>Charging Needs Aalysis</t>
  </si>
  <si>
    <t>MW</t>
  </si>
  <si>
    <t>Minnesota (Territory-Level)</t>
  </si>
  <si>
    <t>Risk Mid</t>
  </si>
  <si>
    <t>EVS</t>
  </si>
  <si>
    <t>ELDVs</t>
  </si>
  <si>
    <t>EMDVs</t>
  </si>
  <si>
    <t>EHDVs</t>
  </si>
  <si>
    <t>All EVs</t>
  </si>
  <si>
    <t>NSPM, XEL Risk Mid Case EV Adoption Scenario, 2023 and 2022 Vintages Comparison</t>
  </si>
  <si>
    <t>LDV+MDV+HDV</t>
  </si>
  <si>
    <t>Mid 2022</t>
  </si>
  <si>
    <t>Mid 2023</t>
  </si>
  <si>
    <t>Mid 2023Minus2022</t>
  </si>
  <si>
    <t>NPV of Capex Revenue Requirements - Reference "Revenue Requirements minus TEP O&amp;M, plus trailing O&amp;M (estimate 5%)"table from RR model</t>
  </si>
  <si>
    <t>NPV RR</t>
  </si>
  <si>
    <t>MN TEP Revenue Requirements Estimate*</t>
  </si>
  <si>
    <t>TEP Budget</t>
  </si>
  <si>
    <t>NPV of CapEX RR</t>
  </si>
  <si>
    <t>Levelized Annual Revenue Requirement (LARR)</t>
  </si>
  <si>
    <t>*Revenue Requirements estimated using a simplified LARR calculation until the full RR model has been completed by Revenue Requirements.</t>
  </si>
  <si>
    <t>Revenue Requirements minus TEP O&amp;M, plus trailing O&amp;M (estimate 5%)</t>
  </si>
  <si>
    <t>trailing O&amp;M on RR</t>
  </si>
  <si>
    <t>Revenue Requirement</t>
  </si>
  <si>
    <t>Residential</t>
  </si>
  <si>
    <t>Residential-Rebate</t>
  </si>
  <si>
    <t>Commercial Pilot</t>
  </si>
  <si>
    <t>SB Pilot-Rebate</t>
  </si>
  <si>
    <t>Total RR</t>
  </si>
  <si>
    <t>2023 Marginal Energy Cost by Hour/Month ($/MWh)</t>
  </si>
  <si>
    <t>from PLEXOS model run</t>
  </si>
  <si>
    <t>Historical LMP</t>
  </si>
  <si>
    <t>Aug. 22 to July 23</t>
  </si>
  <si>
    <t>Average Marginal Energy Cost</t>
  </si>
  <si>
    <t>Hours/Month</t>
  </si>
  <si>
    <t>Annual</t>
  </si>
  <si>
    <t>$/kWh</t>
  </si>
  <si>
    <t>2025 Max Load - System (MW)</t>
  </si>
  <si>
    <t>Coincident Demand</t>
  </si>
  <si>
    <t>Max Demand</t>
  </si>
  <si>
    <t>Coincidence Factor</t>
  </si>
  <si>
    <t>Energy</t>
  </si>
  <si>
    <t>CP Load Factor</t>
  </si>
  <si>
    <t>Load Factor</t>
  </si>
  <si>
    <t>Max Hour</t>
  </si>
  <si>
    <t>Average</t>
  </si>
  <si>
    <t>2022 Marginal Energy Cost by Hour/Month ($/MWh)</t>
  </si>
  <si>
    <t>actual costs</t>
  </si>
  <si>
    <t>Vehicle</t>
  </si>
  <si>
    <t>Input</t>
  </si>
  <si>
    <t>Definition</t>
  </si>
  <si>
    <t>Source</t>
  </si>
  <si>
    <t>Average fuel efficiency of light duty vehicle in US.</t>
  </si>
  <si>
    <t>https://afdc.energy.gov/vehicles/electric_emissions_sources.html
Alternative Fuels Data Center. 2018. "Average Fuel Economy of Major Vehicle Categories." Retrieved 10/18/2023: https://afdc.energy.gov/data/10310</t>
  </si>
  <si>
    <t>Average annual miles traveled.</t>
  </si>
  <si>
    <t>Xcel Energy internal blended calculation.  Used in EV Subscription Service.</t>
  </si>
  <si>
    <t>Average kWh/EV per year</t>
  </si>
  <si>
    <t>Calculated</t>
  </si>
  <si>
    <t>Maverage Miles/kWh</t>
  </si>
  <si>
    <t>EV Charging peak coincidence kW</t>
  </si>
  <si>
    <t>Internal "Cost to Serve" analysis (see hidden tab)</t>
  </si>
  <si>
    <t>Average fuel price per gallon of gasoline in the US.Midwest</t>
  </si>
  <si>
    <t>U.S. Energy Information Administration. 2023. "Weekly Retail Gasoline and Diesel Prices." Retrieved 10/18/2023: https://www.eia.gov/dnav/pet/PET_PRI_GND_A_EPMRU_PTE_DPGAL_W.htm</t>
  </si>
  <si>
    <t>Average maintenance costs per mile of medium gas sedan in US.</t>
  </si>
  <si>
    <t>AAA Exchange. 2018. "Your Driving Costs.  Facat Sheet 2022 Edition." Retrieved 10/18/2023 :https://newsroom.aaa.com/wp-content/uploads/2022/08/2022-YourDrivingCosts-FactSheet-7-1.pdf</t>
  </si>
  <si>
    <t>Average maintenance costs per mile of electric car in US.</t>
  </si>
  <si>
    <t>Annual EV charging costs on program.</t>
  </si>
  <si>
    <t>Xcel Energy - Nick P. Calculation</t>
  </si>
  <si>
    <t>Incremental cost of LDV EV over comprable ICE vehicle</t>
  </si>
  <si>
    <t xml:space="preserve">AFLEET TCO Modeling Tool 2023 https://greet.anl.gov/afleet </t>
  </si>
  <si>
    <t>School Bus</t>
  </si>
  <si>
    <t>Average fuel efficiency of diesel school bus in US.</t>
  </si>
  <si>
    <t>Average fuel price per gallon of diesl in the US.Midwest</t>
  </si>
  <si>
    <t>Average maintenance costs per mile of diesel school bus in US.</t>
  </si>
  <si>
    <t>Incremental cost of Ebus over comprable diesel 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</si>
</sst>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0.0%"/>
    <numFmt numFmtId="166" formatCode="&quot;$&quot;#,##0.00000"/>
    <numFmt numFmtId="167" formatCode="_(* #,##0_);_(* \(#,##0\);_(* &quot;-&quot;??_);_(@_)"/>
    <numFmt numFmtId="168" formatCode="&quot;$&quot;#,##0.00"/>
    <numFmt numFmtId="169" formatCode="_(&quot;$&quot;* #,##0_);_(&quot;$&quot;* \(#,##0\);_(&quot;$&quot;* &quot;-&quot;??_);_(@_)"/>
    <numFmt numFmtId="170" formatCode="0.000"/>
    <numFmt numFmtId="171" formatCode="0.0000%"/>
    <numFmt numFmtId="172" formatCode="_(* #,##0.000_);_(* \(#,##0.000\);_(* &quot;-&quot;??_);_(@_)"/>
    <numFmt numFmtId="173" formatCode="0.00000"/>
    <numFmt numFmtId="174" formatCode="0.000000"/>
    <numFmt numFmtId="175" formatCode="_(* #,##0.0_);_(* \(#,##0.0\);_(* &quot;-&quot;??_);_(@_)"/>
    <numFmt numFmtId="176" formatCode="_(* #,##0.0000_);_(* \(#,##0.0000\);_(* &quot;-&quot;??_);_(@_)"/>
    <numFmt numFmtId="177" formatCode="_(&quot;$&quot;* #,##0.000_);_(&quot;$&quot;* \(#,##0.000\);_(&quot;$&quot;* &quot;-&quot;??_);_(@_)"/>
    <numFmt numFmtId="178" formatCode="_(&quot;$&quot;* #,##0.0000_);_(&quot;$&quot;* \(#,##0.0000\);_(&quot;$&quot;* &quot;-&quot;??_);_(@_)"/>
    <numFmt numFmtId="179" formatCode="0.0\ &quot; years&quot;\ "/>
    <numFmt numFmtId="180" formatCode="#,##0&quot; kW&quot;;[Red]\ \ \-0.000&quot; kW&quot;;\ 0.000\ &quot; kW&quot;"/>
    <numFmt numFmtId="181" formatCode="#,##0&quot; kWh&quot;;[Red]\ \ \-0&quot;kWh&quot;;\ 0&quot; kWh&quot;"/>
    <numFmt numFmtId="182" formatCode="#,##0&quot; Dth&quot;;[Red]\ \ \-0&quot;Dth&quot;;\ 0&quot; Dth&quot;"/>
    <numFmt numFmtId="183" formatCode="0.00&quot; kW&quot;;[Red]\ \ \-0.00&quot; kW&quot;;\ 0.00\ &quot; kW&quot;"/>
    <numFmt numFmtId="184" formatCode="#,##0&quot; kWh&quot;;[Red]\ \ \-#,##0&quot; kWh&quot;;\ 0&quot; kWh&quot;"/>
    <numFmt numFmtId="185" formatCode="#,##0\ &quot; tons CO2&quot;\ "/>
    <numFmt numFmtId="186" formatCode="#,##0.0\ &quot; tons CO2&quot;\ "/>
    <numFmt numFmtId="187" formatCode="_(&quot;$&quot;* #,##0.00000_);_(&quot;$&quot;* \(#,##0.00000\);_(&quot;$&quot;* &quot;-&quot;??_);_(@_)"/>
    <numFmt numFmtId="188" formatCode="#,##0&quot; Gal.&quot;;[Red]\ \ \-0&quot;Gal.&quot;;\ 0&quot; Gal.&quot;"/>
    <numFmt numFmtId="189" formatCode="&quot;$&quot;#,##0.00000_);[Red]\(&quot;$&quot;#,##0.00000\)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1"/>
      <name val="Calibri"/>
      <family val="2"/>
      <scheme val="minor"/>
    </font>
    <font>
      <sz val="9"/>
      <color indexed="81"/>
      <name val="Tahoma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u/>
      <vertAlign val="subscript"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b/>
      <vertAlign val="superscript"/>
      <sz val="11"/>
      <name val="Arial"/>
      <family val="2"/>
    </font>
    <font>
      <b/>
      <vertAlign val="superscript"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2"/>
      <name val="Garamond"/>
      <family val="1"/>
    </font>
    <font>
      <b/>
      <sz val="11"/>
      <name val="Garamond"/>
      <family val="1"/>
    </font>
    <font>
      <sz val="12"/>
      <name val="Garamond"/>
      <family val="1"/>
    </font>
    <font>
      <sz val="10"/>
      <name val="Garamond"/>
      <family val="1"/>
    </font>
    <font>
      <b/>
      <sz val="12"/>
      <color theme="1"/>
      <name val="Garamond"/>
      <family val="1"/>
    </font>
    <font>
      <b/>
      <sz val="14"/>
      <name val="Garamond"/>
      <family val="1"/>
    </font>
    <font>
      <sz val="11"/>
      <color rgb="FF00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sz val="11"/>
      <name val="Garamond"/>
      <family val="1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sz val="12"/>
      <color theme="1"/>
      <name val="Garamond"/>
      <family val="1"/>
    </font>
    <font>
      <b/>
      <sz val="11"/>
      <color rgb="FF0000FF"/>
      <name val="Garamond"/>
      <family val="1"/>
    </font>
    <font>
      <sz val="14"/>
      <color theme="1"/>
      <name val="Garamond"/>
      <family val="1"/>
    </font>
    <font>
      <b/>
      <sz val="14"/>
      <color theme="1"/>
      <name val="Garamond"/>
      <family val="1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00000"/>
        <bgColor rgb="FF000000"/>
      </patternFill>
    </fill>
    <fill>
      <patternFill patternType="solid">
        <fgColor rgb="FF757171"/>
        <bgColor rgb="FF000000"/>
      </patternFill>
    </fill>
    <fill>
      <patternFill patternType="solid">
        <fgColor rgb="FF8497B0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rgb="FFBFBFBF"/>
        <bgColor rgb="FF000000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555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6" fillId="0" borderId="0" xfId="0" quotePrefix="1" applyFont="1"/>
    <xf numFmtId="0" fontId="0" fillId="0" borderId="0" xfId="0" applyAlignment="1">
      <alignment horizontal="right"/>
    </xf>
    <xf numFmtId="0" fontId="1" fillId="0" borderId="0" xfId="0" quotePrefix="1" applyFont="1"/>
    <xf numFmtId="0" fontId="0" fillId="0" borderId="0" xfId="0" quotePrefix="1"/>
    <xf numFmtId="164" fontId="0" fillId="0" borderId="0" xfId="0" applyNumberFormat="1"/>
    <xf numFmtId="0" fontId="1" fillId="0" borderId="2" xfId="0" quotePrefix="1" applyFont="1" applyBorder="1"/>
    <xf numFmtId="10" fontId="1" fillId="0" borderId="0" xfId="3" applyNumberFormat="1" applyFont="1" applyBorder="1"/>
    <xf numFmtId="0" fontId="7" fillId="0" borderId="0" xfId="0" applyFont="1"/>
    <xf numFmtId="0" fontId="7" fillId="0" borderId="0" xfId="0" applyFont="1" applyAlignment="1">
      <alignment horizontal="center"/>
    </xf>
    <xf numFmtId="166" fontId="0" fillId="0" borderId="0" xfId="0" applyNumberFormat="1"/>
    <xf numFmtId="167" fontId="0" fillId="0" borderId="0" xfId="1" applyNumberFormat="1" applyFont="1"/>
    <xf numFmtId="0" fontId="4" fillId="3" borderId="7" xfId="0" applyFont="1" applyFill="1" applyBorder="1"/>
    <xf numFmtId="0" fontId="0" fillId="3" borderId="7" xfId="0" applyFill="1" applyBorder="1"/>
    <xf numFmtId="0" fontId="0" fillId="0" borderId="0" xfId="0" applyAlignment="1">
      <alignment horizontal="left" indent="1"/>
    </xf>
    <xf numFmtId="167" fontId="0" fillId="0" borderId="0" xfId="1" applyNumberFormat="1" applyFont="1" applyFill="1"/>
    <xf numFmtId="0" fontId="4" fillId="0" borderId="0" xfId="0" applyFont="1" applyAlignment="1">
      <alignment horizontal="left" indent="1"/>
    </xf>
    <xf numFmtId="167" fontId="4" fillId="0" borderId="0" xfId="0" applyNumberFormat="1" applyFont="1"/>
    <xf numFmtId="167" fontId="0" fillId="0" borderId="0" xfId="0" applyNumberFormat="1"/>
    <xf numFmtId="168" fontId="0" fillId="0" borderId="0" xfId="0" applyNumberFormat="1"/>
    <xf numFmtId="168" fontId="0" fillId="0" borderId="0" xfId="0" applyNumberFormat="1" applyAlignment="1">
      <alignment horizontal="center"/>
    </xf>
    <xf numFmtId="169" fontId="0" fillId="0" borderId="0" xfId="2" applyNumberFormat="1" applyFont="1"/>
    <xf numFmtId="170" fontId="0" fillId="0" borderId="0" xfId="0" applyNumberFormat="1"/>
    <xf numFmtId="169" fontId="0" fillId="0" borderId="0" xfId="2" applyNumberFormat="1" applyFont="1" applyFill="1"/>
    <xf numFmtId="0" fontId="6" fillId="0" borderId="0" xfId="0" applyFont="1" applyAlignment="1">
      <alignment horizontal="center"/>
    </xf>
    <xf numFmtId="166" fontId="0" fillId="0" borderId="0" xfId="0" applyNumberFormat="1" applyAlignment="1">
      <alignment horizontal="center"/>
    </xf>
    <xf numFmtId="169" fontId="0" fillId="0" borderId="2" xfId="2" applyNumberFormat="1" applyFont="1" applyBorder="1"/>
    <xf numFmtId="169" fontId="4" fillId="0" borderId="2" xfId="0" applyNumberFormat="1" applyFont="1" applyBorder="1"/>
    <xf numFmtId="164" fontId="4" fillId="0" borderId="2" xfId="0" applyNumberFormat="1" applyFont="1" applyBorder="1"/>
    <xf numFmtId="164" fontId="4" fillId="0" borderId="0" xfId="0" applyNumberFormat="1" applyFont="1"/>
    <xf numFmtId="0" fontId="0" fillId="0" borderId="0" xfId="0" applyAlignment="1">
      <alignment horizontal="left"/>
    </xf>
    <xf numFmtId="0" fontId="4" fillId="0" borderId="10" xfId="0" applyFont="1" applyBorder="1" applyAlignment="1">
      <alignment horizontal="left"/>
    </xf>
    <xf numFmtId="0" fontId="0" fillId="0" borderId="10" xfId="0" applyBorder="1"/>
    <xf numFmtId="164" fontId="4" fillId="0" borderId="10" xfId="0" applyNumberFormat="1" applyFont="1" applyBorder="1"/>
    <xf numFmtId="0" fontId="6" fillId="0" borderId="0" xfId="0" applyFont="1"/>
    <xf numFmtId="167" fontId="0" fillId="0" borderId="2" xfId="0" applyNumberFormat="1" applyBorder="1"/>
    <xf numFmtId="165" fontId="0" fillId="0" borderId="0" xfId="3" applyNumberFormat="1" applyFont="1" applyAlignment="1">
      <alignment horizontal="center"/>
    </xf>
    <xf numFmtId="171" fontId="0" fillId="0" borderId="0" xfId="0" applyNumberFormat="1" applyAlignment="1">
      <alignment horizontal="center"/>
    </xf>
    <xf numFmtId="43" fontId="0" fillId="0" borderId="0" xfId="0" applyNumberFormat="1"/>
    <xf numFmtId="0" fontId="6" fillId="0" borderId="0" xfId="0" applyFont="1" applyAlignment="1">
      <alignment horizontal="left"/>
    </xf>
    <xf numFmtId="0" fontId="4" fillId="0" borderId="7" xfId="0" applyFont="1" applyBorder="1"/>
    <xf numFmtId="9" fontId="0" fillId="0" borderId="0" xfId="0" applyNumberFormat="1" applyAlignment="1">
      <alignment horizontal="center"/>
    </xf>
    <xf numFmtId="9" fontId="0" fillId="0" borderId="0" xfId="3" applyFont="1"/>
    <xf numFmtId="9" fontId="0" fillId="0" borderId="7" xfId="3" applyFont="1" applyBorder="1"/>
    <xf numFmtId="166" fontId="0" fillId="0" borderId="0" xfId="1" applyNumberFormat="1" applyFont="1" applyAlignment="1">
      <alignment horizontal="right"/>
    </xf>
    <xf numFmtId="0" fontId="9" fillId="0" borderId="0" xfId="0" applyFont="1"/>
    <xf numFmtId="0" fontId="10" fillId="3" borderId="7" xfId="0" applyFont="1" applyFill="1" applyBorder="1"/>
    <xf numFmtId="0" fontId="10" fillId="0" borderId="0" xfId="0" applyFont="1"/>
    <xf numFmtId="0" fontId="10" fillId="0" borderId="0" xfId="0" applyFont="1" applyAlignment="1">
      <alignment horizontal="left" indent="2"/>
    </xf>
    <xf numFmtId="0" fontId="10" fillId="0" borderId="0" xfId="0" applyFont="1" applyAlignment="1">
      <alignment horizontal="center"/>
    </xf>
    <xf numFmtId="168" fontId="0" fillId="0" borderId="0" xfId="3" applyNumberFormat="1" applyFont="1"/>
    <xf numFmtId="0" fontId="0" fillId="0" borderId="0" xfId="0" applyAlignment="1">
      <alignment horizontal="left" indent="2"/>
    </xf>
    <xf numFmtId="0" fontId="4" fillId="0" borderId="0" xfId="0" applyFont="1" applyAlignment="1">
      <alignment horizontal="left" indent="2"/>
    </xf>
    <xf numFmtId="168" fontId="4" fillId="0" borderId="0" xfId="0" applyNumberFormat="1" applyFont="1"/>
    <xf numFmtId="0" fontId="4" fillId="0" borderId="0" xfId="0" applyFont="1" applyAlignment="1">
      <alignment horizontal="left" indent="3"/>
    </xf>
    <xf numFmtId="166" fontId="4" fillId="0" borderId="0" xfId="0" applyNumberFormat="1" applyFont="1"/>
    <xf numFmtId="167" fontId="9" fillId="0" borderId="0" xfId="1" applyNumberFormat="1" applyFont="1" applyFill="1" applyBorder="1"/>
    <xf numFmtId="172" fontId="0" fillId="0" borderId="0" xfId="1" applyNumberFormat="1" applyFont="1"/>
    <xf numFmtId="172" fontId="0" fillId="0" borderId="0" xfId="0" applyNumberFormat="1"/>
    <xf numFmtId="9" fontId="0" fillId="0" borderId="0" xfId="0" applyNumberFormat="1"/>
    <xf numFmtId="0" fontId="0" fillId="4" borderId="0" xfId="0" applyFill="1"/>
    <xf numFmtId="0" fontId="5" fillId="4" borderId="0" xfId="0" applyFont="1" applyFill="1"/>
    <xf numFmtId="0" fontId="2" fillId="4" borderId="0" xfId="0" applyFont="1" applyFill="1" applyAlignment="1">
      <alignment horizontal="center"/>
    </xf>
    <xf numFmtId="165" fontId="0" fillId="0" borderId="0" xfId="0" applyNumberFormat="1"/>
    <xf numFmtId="10" fontId="9" fillId="0" borderId="0" xfId="3" quotePrefix="1" applyNumberFormat="1" applyFont="1" applyFill="1" applyBorder="1"/>
    <xf numFmtId="10" fontId="0" fillId="0" borderId="0" xfId="0" applyNumberFormat="1"/>
    <xf numFmtId="10" fontId="9" fillId="0" borderId="0" xfId="3" applyNumberFormat="1" applyFont="1" applyBorder="1"/>
    <xf numFmtId="10" fontId="9" fillId="0" borderId="0" xfId="3" applyNumberFormat="1" applyFont="1" applyFill="1" applyBorder="1"/>
    <xf numFmtId="173" fontId="0" fillId="0" borderId="0" xfId="0" applyNumberFormat="1"/>
    <xf numFmtId="10" fontId="9" fillId="0" borderId="0" xfId="3" quotePrefix="1" applyNumberFormat="1" applyFont="1" applyBorder="1"/>
    <xf numFmtId="173" fontId="0" fillId="5" borderId="0" xfId="0" applyNumberFormat="1" applyFill="1"/>
    <xf numFmtId="9" fontId="0" fillId="0" borderId="0" xfId="3" applyFont="1" applyFill="1"/>
    <xf numFmtId="173" fontId="0" fillId="2" borderId="0" xfId="0" applyNumberFormat="1" applyFill="1"/>
    <xf numFmtId="0" fontId="0" fillId="2" borderId="0" xfId="0" applyFill="1"/>
    <xf numFmtId="2" fontId="0" fillId="5" borderId="0" xfId="0" applyNumberFormat="1" applyFill="1"/>
    <xf numFmtId="2" fontId="0" fillId="2" borderId="0" xfId="0" applyNumberFormat="1" applyFill="1"/>
    <xf numFmtId="2" fontId="0" fillId="0" borderId="0" xfId="0" applyNumberFormat="1"/>
    <xf numFmtId="0" fontId="4" fillId="0" borderId="0" xfId="0" applyFont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7" fontId="0" fillId="0" borderId="0" xfId="1" applyNumberFormat="1" applyFont="1" applyFill="1" applyBorder="1"/>
    <xf numFmtId="0" fontId="3" fillId="0" borderId="0" xfId="0" applyFont="1"/>
    <xf numFmtId="0" fontId="4" fillId="5" borderId="1" xfId="0" applyFont="1" applyFill="1" applyBorder="1"/>
    <xf numFmtId="0" fontId="4" fillId="5" borderId="2" xfId="0" applyFont="1" applyFill="1" applyBorder="1"/>
    <xf numFmtId="0" fontId="4" fillId="5" borderId="6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0" fontId="11" fillId="0" borderId="5" xfId="0" applyFont="1" applyBorder="1"/>
    <xf numFmtId="0" fontId="12" fillId="0" borderId="0" xfId="0" applyFont="1"/>
    <xf numFmtId="0" fontId="2" fillId="0" borderId="5" xfId="0" applyFont="1" applyBorder="1"/>
    <xf numFmtId="18" fontId="4" fillId="7" borderId="20" xfId="0" applyNumberFormat="1" applyFont="1" applyFill="1" applyBorder="1"/>
    <xf numFmtId="0" fontId="10" fillId="0" borderId="5" xfId="0" applyFont="1" applyBorder="1"/>
    <xf numFmtId="18" fontId="4" fillId="7" borderId="21" xfId="0" applyNumberFormat="1" applyFont="1" applyFill="1" applyBorder="1"/>
    <xf numFmtId="0" fontId="4" fillId="0" borderId="5" xfId="0" applyFont="1" applyBorder="1"/>
    <xf numFmtId="0" fontId="4" fillId="0" borderId="5" xfId="0" applyFont="1" applyBorder="1" applyAlignment="1">
      <alignment horizontal="left"/>
    </xf>
    <xf numFmtId="165" fontId="0" fillId="0" borderId="0" xfId="3" applyNumberFormat="1" applyFont="1"/>
    <xf numFmtId="165" fontId="0" fillId="0" borderId="22" xfId="3" applyNumberFormat="1" applyFont="1" applyBorder="1"/>
    <xf numFmtId="165" fontId="0" fillId="0" borderId="23" xfId="3" applyNumberFormat="1" applyFont="1" applyBorder="1"/>
    <xf numFmtId="165" fontId="0" fillId="0" borderId="24" xfId="3" applyNumberFormat="1" applyFont="1" applyBorder="1"/>
    <xf numFmtId="165" fontId="0" fillId="0" borderId="0" xfId="3" applyNumberFormat="1" applyFont="1" applyBorder="1"/>
    <xf numFmtId="165" fontId="0" fillId="0" borderId="14" xfId="3" applyNumberFormat="1" applyFont="1" applyBorder="1"/>
    <xf numFmtId="165" fontId="0" fillId="0" borderId="15" xfId="3" applyNumberFormat="1" applyFont="1" applyBorder="1"/>
    <xf numFmtId="165" fontId="0" fillId="0" borderId="1" xfId="3" applyNumberFormat="1" applyFont="1" applyBorder="1"/>
    <xf numFmtId="165" fontId="0" fillId="0" borderId="2" xfId="3" applyNumberFormat="1" applyFont="1" applyBorder="1"/>
    <xf numFmtId="165" fontId="0" fillId="0" borderId="25" xfId="3" applyNumberFormat="1" applyFont="1" applyBorder="1"/>
    <xf numFmtId="165" fontId="0" fillId="0" borderId="26" xfId="3" applyNumberFormat="1" applyFont="1" applyBorder="1"/>
    <xf numFmtId="165" fontId="0" fillId="0" borderId="3" xfId="3" applyNumberFormat="1" applyFont="1" applyBorder="1"/>
    <xf numFmtId="165" fontId="0" fillId="0" borderId="4" xfId="3" applyNumberFormat="1" applyFont="1" applyBorder="1"/>
    <xf numFmtId="165" fontId="0" fillId="0" borderId="5" xfId="3" applyNumberFormat="1" applyFont="1" applyBorder="1"/>
    <xf numFmtId="165" fontId="0" fillId="0" borderId="6" xfId="3" applyNumberFormat="1" applyFont="1" applyBorder="1"/>
    <xf numFmtId="165" fontId="0" fillId="0" borderId="7" xfId="3" applyNumberFormat="1" applyFont="1" applyBorder="1"/>
    <xf numFmtId="165" fontId="0" fillId="0" borderId="27" xfId="3" applyNumberFormat="1" applyFont="1" applyBorder="1"/>
    <xf numFmtId="165" fontId="0" fillId="0" borderId="28" xfId="3" applyNumberFormat="1" applyFont="1" applyBorder="1"/>
    <xf numFmtId="165" fontId="0" fillId="0" borderId="8" xfId="3" applyNumberFormat="1" applyFont="1" applyBorder="1"/>
    <xf numFmtId="165" fontId="0" fillId="0" borderId="16" xfId="3" applyNumberFormat="1" applyFont="1" applyBorder="1"/>
    <xf numFmtId="165" fontId="0" fillId="0" borderId="19" xfId="3" applyNumberFormat="1" applyFont="1" applyBorder="1"/>
    <xf numFmtId="165" fontId="0" fillId="0" borderId="18" xfId="3" applyNumberFormat="1" applyFont="1" applyBorder="1"/>
    <xf numFmtId="0" fontId="6" fillId="0" borderId="22" xfId="0" applyFont="1" applyBorder="1"/>
    <xf numFmtId="0" fontId="0" fillId="0" borderId="24" xfId="0" applyBorder="1"/>
    <xf numFmtId="0" fontId="0" fillId="0" borderId="23" xfId="0" applyBorder="1"/>
    <xf numFmtId="0" fontId="0" fillId="0" borderId="14" xfId="0" applyBorder="1" applyAlignment="1">
      <alignment horizontal="left" indent="1"/>
    </xf>
    <xf numFmtId="9" fontId="0" fillId="0" borderId="15" xfId="3" applyFont="1" applyBorder="1"/>
    <xf numFmtId="43" fontId="0" fillId="0" borderId="0" xfId="1" applyFont="1"/>
    <xf numFmtId="0" fontId="0" fillId="0" borderId="16" xfId="0" applyBorder="1" applyAlignment="1">
      <alignment horizontal="left" indent="1"/>
    </xf>
    <xf numFmtId="0" fontId="0" fillId="0" borderId="18" xfId="0" applyBorder="1"/>
    <xf numFmtId="9" fontId="0" fillId="0" borderId="29" xfId="3" applyFont="1" applyBorder="1"/>
    <xf numFmtId="0" fontId="0" fillId="0" borderId="30" xfId="0" applyBorder="1"/>
    <xf numFmtId="0" fontId="0" fillId="0" borderId="31" xfId="0" applyBorder="1"/>
    <xf numFmtId="165" fontId="0" fillId="0" borderId="32" xfId="3" applyNumberFormat="1" applyFont="1" applyBorder="1"/>
    <xf numFmtId="164" fontId="8" fillId="2" borderId="9" xfId="0" applyNumberFormat="1" applyFont="1" applyFill="1" applyBorder="1" applyAlignment="1">
      <alignment horizontal="center"/>
    </xf>
    <xf numFmtId="167" fontId="0" fillId="2" borderId="0" xfId="1" applyNumberFormat="1" applyFont="1" applyFill="1"/>
    <xf numFmtId="164" fontId="0" fillId="2" borderId="0" xfId="2" applyNumberFormat="1" applyFont="1" applyFill="1"/>
    <xf numFmtId="10" fontId="9" fillId="0" borderId="6" xfId="3" applyNumberFormat="1" applyFont="1" applyFill="1" applyBorder="1"/>
    <xf numFmtId="10" fontId="9" fillId="0" borderId="7" xfId="3" applyNumberFormat="1" applyFont="1" applyFill="1" applyBorder="1"/>
    <xf numFmtId="5" fontId="9" fillId="0" borderId="0" xfId="0" applyNumberFormat="1" applyFont="1"/>
    <xf numFmtId="5" fontId="9" fillId="0" borderId="4" xfId="0" applyNumberFormat="1" applyFont="1" applyBorder="1"/>
    <xf numFmtId="5" fontId="9" fillId="0" borderId="5" xfId="0" applyNumberFormat="1" applyFont="1" applyBorder="1"/>
    <xf numFmtId="5" fontId="13" fillId="0" borderId="0" xfId="0" applyNumberFormat="1" applyFont="1"/>
    <xf numFmtId="5" fontId="13" fillId="0" borderId="4" xfId="0" applyNumberFormat="1" applyFont="1" applyBorder="1"/>
    <xf numFmtId="5" fontId="13" fillId="0" borderId="5" xfId="0" applyNumberFormat="1" applyFont="1" applyBorder="1"/>
    <xf numFmtId="5" fontId="9" fillId="0" borderId="0" xfId="0" quotePrefix="1" applyNumberFormat="1" applyFont="1"/>
    <xf numFmtId="5" fontId="13" fillId="0" borderId="0" xfId="0" quotePrefix="1" applyNumberFormat="1" applyFont="1"/>
    <xf numFmtId="5" fontId="9" fillId="0" borderId="4" xfId="0" quotePrefix="1" applyNumberFormat="1" applyFont="1" applyBorder="1"/>
    <xf numFmtId="5" fontId="9" fillId="0" borderId="5" xfId="0" quotePrefix="1" applyNumberFormat="1" applyFont="1" applyBorder="1"/>
    <xf numFmtId="5" fontId="9" fillId="0" borderId="2" xfId="0" applyNumberFormat="1" applyFont="1" applyBorder="1"/>
    <xf numFmtId="5" fontId="1" fillId="0" borderId="0" xfId="0" applyNumberFormat="1" applyFont="1"/>
    <xf numFmtId="5" fontId="6" fillId="0" borderId="0" xfId="0" applyNumberFormat="1" applyFont="1"/>
    <xf numFmtId="5" fontId="0" fillId="0" borderId="0" xfId="0" applyNumberFormat="1"/>
    <xf numFmtId="5" fontId="10" fillId="0" borderId="0" xfId="0" applyNumberFormat="1" applyFont="1"/>
    <xf numFmtId="9" fontId="0" fillId="2" borderId="0" xfId="0" applyNumberFormat="1" applyFill="1"/>
    <xf numFmtId="165" fontId="0" fillId="2" borderId="0" xfId="3" applyNumberFormat="1" applyFont="1" applyFill="1" applyAlignment="1">
      <alignment horizontal="center"/>
    </xf>
    <xf numFmtId="9" fontId="8" fillId="2" borderId="0" xfId="0" applyNumberFormat="1" applyFont="1" applyFill="1" applyAlignment="1">
      <alignment horizontal="center"/>
    </xf>
    <xf numFmtId="168" fontId="9" fillId="2" borderId="0" xfId="0" applyNumberFormat="1" applyFont="1" applyFill="1"/>
    <xf numFmtId="10" fontId="9" fillId="2" borderId="0" xfId="3" quotePrefix="1" applyNumberFormat="1" applyFont="1" applyFill="1" applyBorder="1"/>
    <xf numFmtId="10" fontId="9" fillId="2" borderId="0" xfId="3" applyNumberFormat="1" applyFont="1" applyFill="1" applyBorder="1"/>
    <xf numFmtId="9" fontId="0" fillId="2" borderId="0" xfId="3" applyFont="1" applyFill="1"/>
    <xf numFmtId="0" fontId="10" fillId="0" borderId="14" xfId="0" applyFont="1" applyBorder="1" applyAlignment="1">
      <alignment horizontal="center"/>
    </xf>
    <xf numFmtId="167" fontId="0" fillId="0" borderId="1" xfId="1" applyNumberFormat="1" applyFont="1" applyFill="1" applyBorder="1"/>
    <xf numFmtId="167" fontId="0" fillId="0" borderId="15" xfId="0" applyNumberFormat="1" applyBorder="1"/>
    <xf numFmtId="167" fontId="0" fillId="0" borderId="18" xfId="1" applyNumberFormat="1" applyFont="1" applyFill="1" applyBorder="1"/>
    <xf numFmtId="167" fontId="0" fillId="0" borderId="19" xfId="0" applyNumberFormat="1" applyBorder="1"/>
    <xf numFmtId="167" fontId="9" fillId="0" borderId="4" xfId="1" applyNumberFormat="1" applyFont="1" applyFill="1" applyBorder="1"/>
    <xf numFmtId="167" fontId="9" fillId="0" borderId="15" xfId="0" applyNumberFormat="1" applyFont="1" applyBorder="1"/>
    <xf numFmtId="0" fontId="10" fillId="0" borderId="16" xfId="0" applyFont="1" applyBorder="1" applyAlignment="1">
      <alignment horizontal="center"/>
    </xf>
    <xf numFmtId="167" fontId="9" fillId="0" borderId="17" xfId="1" applyNumberFormat="1" applyFont="1" applyFill="1" applyBorder="1"/>
    <xf numFmtId="167" fontId="9" fillId="0" borderId="18" xfId="1" applyNumberFormat="1" applyFont="1" applyFill="1" applyBorder="1"/>
    <xf numFmtId="167" fontId="9" fillId="0" borderId="19" xfId="0" applyNumberFormat="1" applyFont="1" applyBorder="1"/>
    <xf numFmtId="165" fontId="8" fillId="2" borderId="9" xfId="0" applyNumberFormat="1" applyFont="1" applyFill="1" applyBorder="1" applyAlignment="1">
      <alignment horizontal="center"/>
    </xf>
    <xf numFmtId="167" fontId="9" fillId="2" borderId="0" xfId="1" applyNumberFormat="1" applyFont="1" applyFill="1" applyBorder="1"/>
    <xf numFmtId="167" fontId="9" fillId="2" borderId="0" xfId="1" applyNumberFormat="1" applyFont="1" applyFill="1"/>
    <xf numFmtId="165" fontId="0" fillId="2" borderId="0" xfId="3" applyNumberFormat="1" applyFont="1" applyFill="1"/>
    <xf numFmtId="0" fontId="15" fillId="0" borderId="0" xfId="0" applyFont="1" applyAlignment="1">
      <alignment vertical="center"/>
    </xf>
    <xf numFmtId="0" fontId="0" fillId="8" borderId="0" xfId="0" applyFill="1" applyAlignment="1">
      <alignment horizontal="left" indent="1"/>
    </xf>
    <xf numFmtId="9" fontId="0" fillId="8" borderId="0" xfId="0" applyNumberFormat="1" applyFill="1" applyAlignment="1">
      <alignment horizontal="center"/>
    </xf>
    <xf numFmtId="167" fontId="0" fillId="8" borderId="0" xfId="0" applyNumberFormat="1" applyFill="1"/>
    <xf numFmtId="0" fontId="0" fillId="8" borderId="0" xfId="0" applyFill="1"/>
    <xf numFmtId="164" fontId="0" fillId="8" borderId="0" xfId="0" applyNumberFormat="1" applyFill="1"/>
    <xf numFmtId="167" fontId="0" fillId="9" borderId="0" xfId="1" applyNumberFormat="1" applyFont="1" applyFill="1"/>
    <xf numFmtId="0" fontId="0" fillId="9" borderId="0" xfId="0" applyFill="1"/>
    <xf numFmtId="37" fontId="9" fillId="9" borderId="0" xfId="1" applyNumberFormat="1" applyFont="1" applyFill="1" applyAlignment="1">
      <alignment horizontal="center" vertical="center"/>
    </xf>
    <xf numFmtId="167" fontId="0" fillId="9" borderId="0" xfId="0" applyNumberFormat="1" applyFill="1"/>
    <xf numFmtId="167" fontId="0" fillId="2" borderId="0" xfId="0" applyNumberFormat="1" applyFill="1"/>
    <xf numFmtId="0" fontId="16" fillId="0" borderId="0" xfId="0" applyFont="1"/>
    <xf numFmtId="0" fontId="0" fillId="0" borderId="0" xfId="0" applyAlignment="1">
      <alignment horizontal="center"/>
    </xf>
    <xf numFmtId="168" fontId="8" fillId="10" borderId="0" xfId="0" applyNumberFormat="1" applyFont="1" applyFill="1"/>
    <xf numFmtId="168" fontId="0" fillId="10" borderId="0" xfId="0" applyNumberFormat="1" applyFill="1"/>
    <xf numFmtId="168" fontId="0" fillId="9" borderId="0" xfId="0" applyNumberFormat="1" applyFill="1"/>
    <xf numFmtId="168" fontId="8" fillId="9" borderId="0" xfId="0" applyNumberFormat="1" applyFont="1" applyFill="1"/>
    <xf numFmtId="168" fontId="9" fillId="9" borderId="0" xfId="0" applyNumberFormat="1" applyFont="1" applyFill="1"/>
    <xf numFmtId="5" fontId="9" fillId="9" borderId="4" xfId="0" applyNumberFormat="1" applyFont="1" applyFill="1" applyBorder="1"/>
    <xf numFmtId="5" fontId="9" fillId="9" borderId="5" xfId="0" applyNumberFormat="1" applyFont="1" applyFill="1" applyBorder="1"/>
    <xf numFmtId="5" fontId="9" fillId="9" borderId="0" xfId="0" applyNumberFormat="1" applyFont="1" applyFill="1"/>
    <xf numFmtId="10" fontId="9" fillId="0" borderId="8" xfId="3" applyNumberFormat="1" applyFont="1" applyBorder="1"/>
    <xf numFmtId="5" fontId="13" fillId="0" borderId="6" xfId="0" applyNumberFormat="1" applyFont="1" applyBorder="1"/>
    <xf numFmtId="5" fontId="13" fillId="0" borderId="7" xfId="0" applyNumberFormat="1" applyFont="1" applyBorder="1"/>
    <xf numFmtId="5" fontId="13" fillId="0" borderId="8" xfId="0" applyNumberFormat="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66" fontId="0" fillId="0" borderId="4" xfId="0" applyNumberFormat="1" applyBorder="1"/>
    <xf numFmtId="166" fontId="0" fillId="0" borderId="5" xfId="0" applyNumberFormat="1" applyBorder="1"/>
    <xf numFmtId="167" fontId="0" fillId="9" borderId="4" xfId="1" applyNumberFormat="1" applyFont="1" applyFill="1" applyBorder="1"/>
    <xf numFmtId="167" fontId="0" fillId="9" borderId="0" xfId="1" applyNumberFormat="1" applyFont="1" applyFill="1" applyBorder="1"/>
    <xf numFmtId="167" fontId="0" fillId="9" borderId="5" xfId="1" applyNumberFormat="1" applyFont="1" applyFill="1" applyBorder="1"/>
    <xf numFmtId="164" fontId="0" fillId="9" borderId="6" xfId="0" applyNumberFormat="1" applyFill="1" applyBorder="1"/>
    <xf numFmtId="164" fontId="0" fillId="0" borderId="7" xfId="0" applyNumberFormat="1" applyBorder="1"/>
    <xf numFmtId="164" fontId="0" fillId="0" borderId="8" xfId="0" applyNumberFormat="1" applyBorder="1"/>
    <xf numFmtId="5" fontId="9" fillId="10" borderId="4" xfId="0" applyNumberFormat="1" applyFont="1" applyFill="1" applyBorder="1"/>
    <xf numFmtId="5" fontId="9" fillId="10" borderId="0" xfId="0" applyNumberFormat="1" applyFont="1" applyFill="1"/>
    <xf numFmtId="5" fontId="9" fillId="10" borderId="5" xfId="0" applyNumberFormat="1" applyFont="1" applyFill="1" applyBorder="1"/>
    <xf numFmtId="174" fontId="0" fillId="0" borderId="0" xfId="0" applyNumberFormat="1"/>
    <xf numFmtId="0" fontId="4" fillId="11" borderId="0" xfId="0" applyFont="1" applyFill="1"/>
    <xf numFmtId="0" fontId="0" fillId="11" borderId="0" xfId="0" applyFill="1"/>
    <xf numFmtId="0" fontId="6" fillId="11" borderId="22" xfId="0" applyFont="1" applyFill="1" applyBorder="1"/>
    <xf numFmtId="0" fontId="0" fillId="11" borderId="24" xfId="0" applyFill="1" applyBorder="1"/>
    <xf numFmtId="0" fontId="0" fillId="11" borderId="23" xfId="0" applyFill="1" applyBorder="1"/>
    <xf numFmtId="0" fontId="0" fillId="11" borderId="14" xfId="0" applyFill="1" applyBorder="1" applyAlignment="1">
      <alignment horizontal="left" indent="1"/>
    </xf>
    <xf numFmtId="9" fontId="0" fillId="11" borderId="15" xfId="3" applyFont="1" applyFill="1" applyBorder="1"/>
    <xf numFmtId="0" fontId="0" fillId="11" borderId="16" xfId="0" applyFill="1" applyBorder="1" applyAlignment="1">
      <alignment horizontal="left" indent="1"/>
    </xf>
    <xf numFmtId="0" fontId="0" fillId="11" borderId="18" xfId="0" applyFill="1" applyBorder="1"/>
    <xf numFmtId="9" fontId="0" fillId="11" borderId="29" xfId="3" applyFont="1" applyFill="1" applyBorder="1"/>
    <xf numFmtId="0" fontId="0" fillId="11" borderId="30" xfId="0" applyFill="1" applyBorder="1"/>
    <xf numFmtId="0" fontId="0" fillId="11" borderId="31" xfId="0" applyFill="1" applyBorder="1"/>
    <xf numFmtId="165" fontId="0" fillId="11" borderId="32" xfId="3" applyNumberFormat="1" applyFont="1" applyFill="1" applyBorder="1"/>
    <xf numFmtId="0" fontId="0" fillId="11" borderId="0" xfId="0" applyFill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4" fontId="0" fillId="0" borderId="0" xfId="0" applyNumberFormat="1"/>
    <xf numFmtId="0" fontId="22" fillId="0" borderId="0" xfId="0" applyFont="1" applyAlignment="1">
      <alignment horizontal="left"/>
    </xf>
    <xf numFmtId="0" fontId="0" fillId="0" borderId="0" xfId="4" applyFont="1"/>
    <xf numFmtId="3" fontId="0" fillId="0" borderId="0" xfId="0" applyNumberFormat="1"/>
    <xf numFmtId="0" fontId="25" fillId="0" borderId="0" xfId="0" applyFont="1"/>
    <xf numFmtId="167" fontId="26" fillId="0" borderId="0" xfId="1" applyNumberFormat="1" applyFont="1" applyFill="1" applyBorder="1" applyAlignment="1">
      <alignment horizontal="center"/>
    </xf>
    <xf numFmtId="0" fontId="27" fillId="0" borderId="0" xfId="0" applyFont="1"/>
    <xf numFmtId="43" fontId="28" fillId="0" borderId="0" xfId="1" applyFont="1" applyFill="1" applyBorder="1" applyAlignment="1">
      <alignment horizontal="left" indent="1"/>
    </xf>
    <xf numFmtId="0" fontId="0" fillId="12" borderId="0" xfId="0" applyFill="1" applyAlignment="1">
      <alignment horizontal="left" indent="1"/>
    </xf>
    <xf numFmtId="43" fontId="16" fillId="12" borderId="0" xfId="1" applyFont="1" applyFill="1" applyBorder="1"/>
    <xf numFmtId="0" fontId="3" fillId="0" borderId="0" xfId="0" applyFont="1" applyAlignment="1">
      <alignment horizontal="left" indent="1"/>
    </xf>
    <xf numFmtId="43" fontId="29" fillId="0" borderId="0" xfId="1" applyFont="1" applyFill="1" applyBorder="1"/>
    <xf numFmtId="167" fontId="28" fillId="0" borderId="0" xfId="1" applyNumberFormat="1" applyFont="1" applyFill="1" applyBorder="1"/>
    <xf numFmtId="49" fontId="30" fillId="0" borderId="0" xfId="1" applyNumberFormat="1" applyFont="1" applyFill="1" applyBorder="1"/>
    <xf numFmtId="43" fontId="27" fillId="0" borderId="0" xfId="1" applyFont="1" applyFill="1" applyBorder="1"/>
    <xf numFmtId="167" fontId="16" fillId="0" borderId="0" xfId="1" applyNumberFormat="1" applyFont="1" applyFill="1" applyBorder="1"/>
    <xf numFmtId="0" fontId="17" fillId="0" borderId="0" xfId="4"/>
    <xf numFmtId="43" fontId="16" fillId="0" borderId="0" xfId="1" applyFont="1" applyFill="1" applyBorder="1"/>
    <xf numFmtId="0" fontId="19" fillId="0" borderId="0" xfId="0" applyFont="1" applyAlignment="1">
      <alignment horizontal="left"/>
    </xf>
    <xf numFmtId="49" fontId="30" fillId="0" borderId="0" xfId="1" applyNumberFormat="1" applyFont="1" applyFill="1" applyBorder="1" applyAlignment="1"/>
    <xf numFmtId="49" fontId="30" fillId="0" borderId="0" xfId="1" applyNumberFormat="1" applyFont="1" applyFill="1" applyBorder="1" applyAlignment="1">
      <alignment horizontal="left"/>
    </xf>
    <xf numFmtId="175" fontId="16" fillId="0" borderId="0" xfId="1" applyNumberFormat="1" applyFont="1" applyFill="1" applyBorder="1"/>
    <xf numFmtId="49" fontId="28" fillId="0" borderId="0" xfId="1" applyNumberFormat="1" applyFont="1" applyFill="1" applyBorder="1" applyAlignment="1"/>
    <xf numFmtId="1" fontId="0" fillId="0" borderId="0" xfId="0" applyNumberFormat="1"/>
    <xf numFmtId="170" fontId="16" fillId="12" borderId="0" xfId="1" applyNumberFormat="1" applyFont="1" applyFill="1" applyBorder="1"/>
    <xf numFmtId="1" fontId="16" fillId="0" borderId="0" xfId="1" applyNumberFormat="1" applyFont="1" applyFill="1" applyBorder="1"/>
    <xf numFmtId="176" fontId="16" fillId="0" borderId="0" xfId="1" applyNumberFormat="1" applyFont="1" applyFill="1" applyBorder="1"/>
    <xf numFmtId="0" fontId="31" fillId="0" borderId="0" xfId="0" applyFont="1" applyAlignment="1">
      <alignment horizontal="left"/>
    </xf>
    <xf numFmtId="0" fontId="32" fillId="0" borderId="0" xfId="0" applyFont="1" applyAlignment="1">
      <alignment horizontal="center" vertical="top"/>
    </xf>
    <xf numFmtId="0" fontId="0" fillId="12" borderId="0" xfId="0" applyFill="1" applyAlignment="1">
      <alignment horizontal="left" indent="2"/>
    </xf>
    <xf numFmtId="170" fontId="16" fillId="0" borderId="0" xfId="1" applyNumberFormat="1" applyFont="1" applyFill="1" applyBorder="1"/>
    <xf numFmtId="0" fontId="0" fillId="0" borderId="7" xfId="0" applyBorder="1" applyAlignment="1">
      <alignment horizontal="left" indent="2"/>
    </xf>
    <xf numFmtId="170" fontId="16" fillId="0" borderId="7" xfId="1" applyNumberFormat="1" applyFont="1" applyFill="1" applyBorder="1"/>
    <xf numFmtId="0" fontId="0" fillId="0" borderId="7" xfId="0" applyBorder="1"/>
    <xf numFmtId="0" fontId="33" fillId="0" borderId="0" xfId="0" applyFont="1" applyAlignment="1">
      <alignment horizontal="left"/>
    </xf>
    <xf numFmtId="0" fontId="17" fillId="0" borderId="0" xfId="4" applyFill="1"/>
    <xf numFmtId="0" fontId="34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Continuous"/>
    </xf>
    <xf numFmtId="0" fontId="6" fillId="0" borderId="4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 applyAlignment="1">
      <alignment horizontal="center"/>
    </xf>
    <xf numFmtId="5" fontId="0" fillId="0" borderId="0" xfId="2" applyNumberFormat="1" applyFont="1" applyBorder="1" applyAlignment="1">
      <alignment horizontal="center"/>
    </xf>
    <xf numFmtId="5" fontId="0" fillId="0" borderId="4" xfId="2" applyNumberFormat="1" applyFont="1" applyFill="1" applyBorder="1" applyAlignment="1">
      <alignment horizontal="center"/>
    </xf>
    <xf numFmtId="5" fontId="0" fillId="0" borderId="0" xfId="2" applyNumberFormat="1" applyFont="1" applyFill="1" applyBorder="1" applyAlignment="1">
      <alignment horizontal="center"/>
    </xf>
    <xf numFmtId="5" fontId="0" fillId="0" borderId="4" xfId="2" applyNumberFormat="1" applyFont="1" applyBorder="1" applyAlignment="1">
      <alignment horizontal="center"/>
    </xf>
    <xf numFmtId="169" fontId="0" fillId="0" borderId="0" xfId="2" applyNumberFormat="1" applyFont="1" applyBorder="1"/>
    <xf numFmtId="0" fontId="22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4" fillId="0" borderId="0" xfId="0" applyFont="1" applyAlignment="1">
      <alignment vertical="top"/>
    </xf>
    <xf numFmtId="0" fontId="0" fillId="0" borderId="0" xfId="0" applyAlignment="1">
      <alignment vertical="top" wrapText="1"/>
    </xf>
    <xf numFmtId="44" fontId="0" fillId="0" borderId="0" xfId="2" applyFont="1" applyAlignment="1">
      <alignment vertical="top"/>
    </xf>
    <xf numFmtId="0" fontId="0" fillId="0" borderId="0" xfId="0" applyAlignment="1">
      <alignment horizontal="right" vertical="top"/>
    </xf>
    <xf numFmtId="44" fontId="4" fillId="0" borderId="0" xfId="2" applyFont="1" applyAlignment="1">
      <alignment vertical="top"/>
    </xf>
    <xf numFmtId="0" fontId="0" fillId="0" borderId="0" xfId="0" applyAlignment="1">
      <alignment horizontal="center" vertical="top" wrapText="1"/>
    </xf>
    <xf numFmtId="0" fontId="35" fillId="0" borderId="0" xfId="0" applyFont="1"/>
    <xf numFmtId="0" fontId="0" fillId="0" borderId="7" xfId="0" applyBorder="1" applyAlignment="1">
      <alignment horizontal="center"/>
    </xf>
    <xf numFmtId="44" fontId="4" fillId="0" borderId="7" xfId="0" applyNumberFormat="1" applyFont="1" applyBorder="1"/>
    <xf numFmtId="0" fontId="0" fillId="0" borderId="0" xfId="0" applyAlignment="1">
      <alignment wrapText="1"/>
    </xf>
    <xf numFmtId="44" fontId="0" fillId="0" borderId="7" xfId="2" applyFont="1" applyBorder="1"/>
    <xf numFmtId="0" fontId="36" fillId="3" borderId="33" xfId="0" applyFont="1" applyFill="1" applyBorder="1"/>
    <xf numFmtId="0" fontId="36" fillId="3" borderId="33" xfId="0" applyFont="1" applyFill="1" applyBorder="1" applyAlignment="1">
      <alignment horizontal="center"/>
    </xf>
    <xf numFmtId="44" fontId="36" fillId="3" borderId="33" xfId="2" applyFont="1" applyFill="1" applyBorder="1"/>
    <xf numFmtId="44" fontId="4" fillId="0" borderId="0" xfId="0" applyNumberFormat="1" applyFont="1"/>
    <xf numFmtId="44" fontId="36" fillId="3" borderId="33" xfId="0" applyNumberFormat="1" applyFont="1" applyFill="1" applyBorder="1"/>
    <xf numFmtId="0" fontId="36" fillId="3" borderId="34" xfId="0" applyFont="1" applyFill="1" applyBorder="1"/>
    <xf numFmtId="0" fontId="36" fillId="3" borderId="34" xfId="0" applyFont="1" applyFill="1" applyBorder="1" applyAlignment="1">
      <alignment horizontal="center"/>
    </xf>
    <xf numFmtId="44" fontId="36" fillId="3" borderId="34" xfId="2" applyFont="1" applyFill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4" fontId="4" fillId="2" borderId="0" xfId="0" applyNumberFormat="1" applyFont="1" applyFill="1"/>
    <xf numFmtId="0" fontId="32" fillId="0" borderId="0" xfId="0" applyFont="1"/>
    <xf numFmtId="44" fontId="0" fillId="0" borderId="0" xfId="2" applyFont="1"/>
    <xf numFmtId="0" fontId="39" fillId="0" borderId="0" xfId="0" applyFont="1"/>
    <xf numFmtId="0" fontId="39" fillId="0" borderId="0" xfId="0" applyFont="1" applyAlignment="1">
      <alignment horizontal="center"/>
    </xf>
    <xf numFmtId="0" fontId="0" fillId="0" borderId="9" xfId="0" applyBorder="1"/>
    <xf numFmtId="0" fontId="4" fillId="0" borderId="9" xfId="0" applyFont="1" applyBorder="1" applyAlignment="1">
      <alignment horizontal="center"/>
    </xf>
    <xf numFmtId="0" fontId="44" fillId="0" borderId="35" xfId="0" applyFont="1" applyBorder="1"/>
    <xf numFmtId="0" fontId="46" fillId="0" borderId="36" xfId="0" applyFont="1" applyBorder="1" applyAlignment="1">
      <alignment horizontal="center" vertical="center"/>
    </xf>
    <xf numFmtId="0" fontId="46" fillId="0" borderId="2" xfId="0" applyFont="1" applyBorder="1" applyAlignment="1">
      <alignment horizontal="center" vertical="center"/>
    </xf>
    <xf numFmtId="0" fontId="47" fillId="13" borderId="4" xfId="0" applyFont="1" applyFill="1" applyBorder="1" applyAlignment="1">
      <alignment horizontal="left"/>
    </xf>
    <xf numFmtId="0" fontId="47" fillId="13" borderId="0" xfId="0" applyFont="1" applyFill="1" applyAlignment="1">
      <alignment horizontal="center" vertical="center"/>
    </xf>
    <xf numFmtId="0" fontId="47" fillId="14" borderId="4" xfId="0" applyFont="1" applyFill="1" applyBorder="1" applyAlignment="1">
      <alignment horizontal="left"/>
    </xf>
    <xf numFmtId="0" fontId="44" fillId="14" borderId="0" xfId="0" applyFont="1" applyFill="1" applyAlignment="1">
      <alignment horizontal="center" vertical="center"/>
    </xf>
    <xf numFmtId="0" fontId="46" fillId="15" borderId="4" xfId="0" applyFont="1" applyFill="1" applyBorder="1" applyAlignment="1">
      <alignment horizontal="left"/>
    </xf>
    <xf numFmtId="0" fontId="44" fillId="15" borderId="0" xfId="0" applyFont="1" applyFill="1" applyAlignment="1">
      <alignment horizontal="center" vertical="center"/>
    </xf>
    <xf numFmtId="0" fontId="48" fillId="16" borderId="0" xfId="0" applyFont="1" applyFill="1" applyAlignment="1">
      <alignment horizontal="left"/>
    </xf>
    <xf numFmtId="0" fontId="44" fillId="16" borderId="0" xfId="0" applyFont="1" applyFill="1" applyAlignment="1">
      <alignment horizontal="center" vertical="center"/>
    </xf>
    <xf numFmtId="0" fontId="44" fillId="0" borderId="0" xfId="0" applyFont="1" applyAlignment="1">
      <alignment horizontal="right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44" fillId="17" borderId="0" xfId="0" applyFont="1" applyFill="1" applyAlignment="1">
      <alignment horizontal="right"/>
    </xf>
    <xf numFmtId="3" fontId="8" fillId="17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0" fontId="45" fillId="0" borderId="0" xfId="0" applyFont="1"/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6" fontId="10" fillId="0" borderId="0" xfId="0" applyNumberFormat="1" applyFont="1" applyAlignment="1">
      <alignment horizontal="center" vertical="center"/>
    </xf>
    <xf numFmtId="6" fontId="9" fillId="0" borderId="0" xfId="0" applyNumberFormat="1" applyFont="1" applyAlignment="1">
      <alignment horizontal="center" vertical="center"/>
    </xf>
    <xf numFmtId="0" fontId="0" fillId="3" borderId="0" xfId="0" applyFill="1" applyAlignment="1">
      <alignment wrapText="1"/>
    </xf>
    <xf numFmtId="0" fontId="0" fillId="3" borderId="0" xfId="0" applyFill="1"/>
    <xf numFmtId="43" fontId="0" fillId="0" borderId="9" xfId="1" applyFont="1" applyBorder="1"/>
    <xf numFmtId="0" fontId="4" fillId="0" borderId="9" xfId="0" applyFont="1" applyBorder="1"/>
    <xf numFmtId="177" fontId="0" fillId="0" borderId="9" xfId="2" applyNumberFormat="1" applyFont="1" applyBorder="1"/>
    <xf numFmtId="178" fontId="0" fillId="0" borderId="9" xfId="2" applyNumberFormat="1" applyFont="1" applyBorder="1"/>
    <xf numFmtId="44" fontId="0" fillId="0" borderId="9" xfId="2" applyFont="1" applyBorder="1"/>
    <xf numFmtId="0" fontId="0" fillId="0" borderId="38" xfId="0" applyBorder="1"/>
    <xf numFmtId="0" fontId="4" fillId="0" borderId="35" xfId="0" applyFont="1" applyBorder="1"/>
    <xf numFmtId="0" fontId="4" fillId="0" borderId="37" xfId="0" applyFont="1" applyBorder="1"/>
    <xf numFmtId="44" fontId="0" fillId="0" borderId="0" xfId="2" applyFont="1" applyFill="1"/>
    <xf numFmtId="44" fontId="0" fillId="3" borderId="0" xfId="2" applyFont="1" applyFill="1"/>
    <xf numFmtId="0" fontId="0" fillId="4" borderId="0" xfId="0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4" fontId="0" fillId="18" borderId="0" xfId="0" applyNumberFormat="1" applyFill="1" applyAlignment="1">
      <alignment horizontal="left" vertical="top"/>
    </xf>
    <xf numFmtId="0" fontId="0" fillId="18" borderId="0" xfId="0" applyFill="1"/>
    <xf numFmtId="0" fontId="0" fillId="18" borderId="0" xfId="0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5" fontId="8" fillId="0" borderId="0" xfId="0" applyNumberFormat="1" applyFont="1" applyAlignment="1">
      <alignment horizontal="center" vertical="center"/>
    </xf>
    <xf numFmtId="5" fontId="9" fillId="0" borderId="0" xfId="0" applyNumberFormat="1" applyFont="1" applyAlignment="1">
      <alignment horizontal="center" vertical="center"/>
    </xf>
    <xf numFmtId="5" fontId="4" fillId="0" borderId="0" xfId="0" applyNumberFormat="1" applyFont="1" applyAlignment="1">
      <alignment horizontal="center" vertical="center"/>
    </xf>
    <xf numFmtId="169" fontId="0" fillId="0" borderId="9" xfId="2" applyNumberFormat="1" applyFont="1" applyBorder="1"/>
    <xf numFmtId="6" fontId="0" fillId="0" borderId="0" xfId="0" applyNumberFormat="1"/>
    <xf numFmtId="169" fontId="0" fillId="0" borderId="0" xfId="0" applyNumberFormat="1"/>
    <xf numFmtId="43" fontId="0" fillId="0" borderId="0" xfId="1" applyFont="1" applyAlignment="1">
      <alignment horizontal="center"/>
    </xf>
    <xf numFmtId="169" fontId="0" fillId="0" borderId="9" xfId="0" applyNumberFormat="1" applyBorder="1"/>
    <xf numFmtId="0" fontId="0" fillId="19" borderId="22" xfId="0" applyFill="1" applyBorder="1"/>
    <xf numFmtId="0" fontId="0" fillId="19" borderId="24" xfId="0" applyFill="1" applyBorder="1"/>
    <xf numFmtId="10" fontId="0" fillId="19" borderId="24" xfId="0" applyNumberFormat="1" applyFill="1" applyBorder="1"/>
    <xf numFmtId="0" fontId="0" fillId="19" borderId="23" xfId="0" applyFill="1" applyBorder="1"/>
    <xf numFmtId="0" fontId="8" fillId="19" borderId="14" xfId="0" applyFont="1" applyFill="1" applyBorder="1" applyAlignment="1">
      <alignment horizontal="left" vertical="center"/>
    </xf>
    <xf numFmtId="0" fontId="0" fillId="19" borderId="0" xfId="0" applyFill="1"/>
    <xf numFmtId="0" fontId="8" fillId="19" borderId="0" xfId="0" applyFont="1" applyFill="1" applyAlignment="1">
      <alignment horizontal="center" vertical="center"/>
    </xf>
    <xf numFmtId="5" fontId="9" fillId="19" borderId="0" xfId="0" applyNumberFormat="1" applyFont="1" applyFill="1" applyAlignment="1">
      <alignment horizontal="center" vertical="center"/>
    </xf>
    <xf numFmtId="5" fontId="8" fillId="19" borderId="0" xfId="0" applyNumberFormat="1" applyFont="1" applyFill="1" applyAlignment="1">
      <alignment horizontal="center" vertical="center"/>
    </xf>
    <xf numFmtId="5" fontId="9" fillId="19" borderId="15" xfId="0" applyNumberFormat="1" applyFont="1" applyFill="1" applyBorder="1" applyAlignment="1">
      <alignment horizontal="center" vertical="center"/>
    </xf>
    <xf numFmtId="0" fontId="8" fillId="19" borderId="14" xfId="0" applyFont="1" applyFill="1" applyBorder="1"/>
    <xf numFmtId="0" fontId="0" fillId="19" borderId="14" xfId="0" applyFill="1" applyBorder="1"/>
    <xf numFmtId="0" fontId="4" fillId="19" borderId="0" xfId="0" applyFont="1" applyFill="1" applyAlignment="1">
      <alignment horizontal="right"/>
    </xf>
    <xf numFmtId="5" fontId="9" fillId="19" borderId="10" xfId="0" applyNumberFormat="1" applyFont="1" applyFill="1" applyBorder="1" applyAlignment="1">
      <alignment horizontal="center" vertical="center"/>
    </xf>
    <xf numFmtId="5" fontId="9" fillId="19" borderId="29" xfId="0" applyNumberFormat="1" applyFont="1" applyFill="1" applyBorder="1" applyAlignment="1">
      <alignment horizontal="center" vertical="center"/>
    </xf>
    <xf numFmtId="0" fontId="0" fillId="19" borderId="16" xfId="0" applyFill="1" applyBorder="1"/>
    <xf numFmtId="0" fontId="0" fillId="19" borderId="18" xfId="0" applyFill="1" applyBorder="1"/>
    <xf numFmtId="0" fontId="0" fillId="19" borderId="19" xfId="0" applyFill="1" applyBorder="1"/>
    <xf numFmtId="5" fontId="9" fillId="19" borderId="31" xfId="0" applyNumberFormat="1" applyFont="1" applyFill="1" applyBorder="1" applyAlignment="1">
      <alignment horizontal="center" vertical="center"/>
    </xf>
    <xf numFmtId="5" fontId="9" fillId="19" borderId="32" xfId="0" applyNumberFormat="1" applyFont="1" applyFill="1" applyBorder="1" applyAlignment="1">
      <alignment horizontal="center" vertical="center"/>
    </xf>
    <xf numFmtId="0" fontId="4" fillId="19" borderId="16" xfId="0" applyFont="1" applyFill="1" applyBorder="1" applyAlignment="1">
      <alignment horizontal="right"/>
    </xf>
    <xf numFmtId="0" fontId="4" fillId="19" borderId="30" xfId="0" applyFont="1" applyFill="1" applyBorder="1" applyAlignment="1">
      <alignment horizontal="right"/>
    </xf>
    <xf numFmtId="0" fontId="0" fillId="19" borderId="31" xfId="0" applyFill="1" applyBorder="1"/>
    <xf numFmtId="0" fontId="4" fillId="19" borderId="31" xfId="0" applyFont="1" applyFill="1" applyBorder="1"/>
    <xf numFmtId="0" fontId="4" fillId="19" borderId="18" xfId="0" applyFont="1" applyFill="1" applyBorder="1"/>
    <xf numFmtId="0" fontId="10" fillId="20" borderId="0" xfId="0" applyFont="1" applyFill="1" applyAlignment="1">
      <alignment horizontal="left" vertical="center"/>
    </xf>
    <xf numFmtId="0" fontId="9" fillId="20" borderId="0" xfId="0" applyFont="1" applyFill="1"/>
    <xf numFmtId="0" fontId="9" fillId="20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21" borderId="0" xfId="0" applyFont="1" applyFill="1" applyAlignment="1">
      <alignment horizontal="center" vertical="center"/>
    </xf>
    <xf numFmtId="0" fontId="9" fillId="21" borderId="0" xfId="0" applyFont="1" applyFill="1" applyAlignment="1">
      <alignment horizontal="center" vertical="center"/>
    </xf>
    <xf numFmtId="0" fontId="10" fillId="21" borderId="0" xfId="0" applyFont="1" applyFill="1" applyAlignment="1">
      <alignment horizontal="left" vertical="center"/>
    </xf>
    <xf numFmtId="0" fontId="9" fillId="22" borderId="0" xfId="0" applyFont="1" applyFill="1" applyAlignment="1">
      <alignment wrapText="1"/>
    </xf>
    <xf numFmtId="0" fontId="10" fillId="2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9" fontId="9" fillId="0" borderId="0" xfId="0" applyNumberFormat="1" applyFont="1" applyAlignment="1">
      <alignment horizontal="center" vertical="center"/>
    </xf>
    <xf numFmtId="0" fontId="9" fillId="23" borderId="0" xfId="0" applyFont="1" applyFill="1" applyAlignment="1">
      <alignment horizontal="center"/>
    </xf>
    <xf numFmtId="3" fontId="8" fillId="23" borderId="0" xfId="0" applyNumberFormat="1" applyFont="1" applyFill="1" applyAlignment="1">
      <alignment horizontal="center" vertical="center"/>
    </xf>
    <xf numFmtId="3" fontId="9" fillId="23" borderId="0" xfId="0" applyNumberFormat="1" applyFont="1" applyFill="1" applyAlignment="1">
      <alignment horizontal="center" vertical="center"/>
    </xf>
    <xf numFmtId="0" fontId="9" fillId="23" borderId="0" xfId="0" applyFont="1" applyFill="1"/>
    <xf numFmtId="0" fontId="8" fillId="23" borderId="0" xfId="0" applyFont="1" applyFill="1" applyAlignment="1">
      <alignment horizontal="center" vertical="center"/>
    </xf>
    <xf numFmtId="0" fontId="9" fillId="23" borderId="0" xfId="0" applyFont="1" applyFill="1" applyAlignment="1">
      <alignment horizontal="center" vertical="center"/>
    </xf>
    <xf numFmtId="9" fontId="9" fillId="23" borderId="0" xfId="0" applyNumberFormat="1" applyFont="1" applyFill="1" applyAlignment="1">
      <alignment horizontal="center" vertical="center"/>
    </xf>
    <xf numFmtId="0" fontId="9" fillId="24" borderId="0" xfId="0" applyFont="1" applyFill="1" applyAlignment="1">
      <alignment horizontal="center"/>
    </xf>
    <xf numFmtId="3" fontId="8" fillId="24" borderId="0" xfId="0" applyNumberFormat="1" applyFont="1" applyFill="1" applyAlignment="1">
      <alignment horizontal="center" vertical="center"/>
    </xf>
    <xf numFmtId="3" fontId="9" fillId="24" borderId="0" xfId="0" applyNumberFormat="1" applyFont="1" applyFill="1" applyAlignment="1">
      <alignment horizontal="center" vertical="center"/>
    </xf>
    <xf numFmtId="0" fontId="9" fillId="24" borderId="0" xfId="0" applyFont="1" applyFill="1"/>
    <xf numFmtId="0" fontId="9" fillId="24" borderId="0" xfId="0" applyFont="1" applyFill="1" applyAlignment="1">
      <alignment horizontal="center" vertical="center"/>
    </xf>
    <xf numFmtId="9" fontId="9" fillId="24" borderId="0" xfId="0" applyNumberFormat="1" applyFont="1" applyFill="1" applyAlignment="1">
      <alignment horizontal="center" vertical="center"/>
    </xf>
    <xf numFmtId="3" fontId="9" fillId="0" borderId="0" xfId="0" applyNumberFormat="1" applyFont="1"/>
    <xf numFmtId="0" fontId="39" fillId="0" borderId="0" xfId="0" applyFont="1" applyAlignment="1">
      <alignment horizontal="left" vertical="center" wrapText="1"/>
    </xf>
    <xf numFmtId="0" fontId="49" fillId="0" borderId="0" xfId="0" applyFont="1"/>
    <xf numFmtId="0" fontId="39" fillId="0" borderId="0" xfId="0" applyFont="1" applyAlignment="1">
      <alignment horizontal="left"/>
    </xf>
    <xf numFmtId="0" fontId="49" fillId="0" borderId="24" xfId="0" applyFont="1" applyBorder="1"/>
    <xf numFmtId="0" fontId="49" fillId="0" borderId="2" xfId="0" applyFont="1" applyBorder="1" applyAlignment="1">
      <alignment horizontal="left" indent="1"/>
    </xf>
    <xf numFmtId="179" fontId="49" fillId="0" borderId="2" xfId="5" applyNumberFormat="1" applyFont="1" applyFill="1" applyBorder="1" applyAlignment="1">
      <alignment horizontal="right"/>
    </xf>
    <xf numFmtId="37" fontId="49" fillId="0" borderId="0" xfId="0" quotePrefix="1" applyNumberFormat="1" applyFont="1" applyAlignment="1">
      <alignment horizontal="right"/>
    </xf>
    <xf numFmtId="37" fontId="49" fillId="0" borderId="0" xfId="6" applyNumberFormat="1" applyFont="1" applyFill="1"/>
    <xf numFmtId="0" fontId="49" fillId="0" borderId="0" xfId="0" applyFont="1" applyAlignment="1">
      <alignment horizontal="left" indent="1"/>
    </xf>
    <xf numFmtId="179" fontId="49" fillId="0" borderId="0" xfId="5" applyNumberFormat="1" applyFont="1" applyFill="1" applyBorder="1" applyAlignment="1">
      <alignment horizontal="right"/>
    </xf>
    <xf numFmtId="0" fontId="49" fillId="0" borderId="0" xfId="0" applyFont="1" applyAlignment="1">
      <alignment horizontal="left" indent="2"/>
    </xf>
    <xf numFmtId="37" fontId="49" fillId="0" borderId="0" xfId="0" applyNumberFormat="1" applyFont="1"/>
    <xf numFmtId="10" fontId="49" fillId="0" borderId="0" xfId="3" applyNumberFormat="1" applyFont="1" applyFill="1" applyBorder="1"/>
    <xf numFmtId="0" fontId="39" fillId="0" borderId="0" xfId="0" applyFont="1" applyAlignment="1">
      <alignment horizontal="left" indent="1"/>
    </xf>
    <xf numFmtId="180" fontId="39" fillId="0" borderId="0" xfId="0" applyNumberFormat="1" applyFont="1" applyAlignment="1">
      <alignment horizontal="right"/>
    </xf>
    <xf numFmtId="181" fontId="49" fillId="0" borderId="0" xfId="5" applyNumberFormat="1" applyFont="1" applyFill="1" applyBorder="1" applyAlignment="1" applyProtection="1">
      <alignment horizontal="right"/>
    </xf>
    <xf numFmtId="0" fontId="49" fillId="0" borderId="10" xfId="0" applyFont="1" applyBorder="1" applyAlignment="1">
      <alignment horizontal="left"/>
    </xf>
    <xf numFmtId="37" fontId="49" fillId="0" borderId="10" xfId="0" quotePrefix="1" applyNumberFormat="1" applyFont="1" applyBorder="1" applyAlignment="1">
      <alignment horizontal="right"/>
    </xf>
    <xf numFmtId="37" fontId="49" fillId="0" borderId="10" xfId="0" applyNumberFormat="1" applyFont="1" applyBorder="1" applyAlignment="1">
      <alignment horizontal="right"/>
    </xf>
    <xf numFmtId="181" fontId="39" fillId="0" borderId="0" xfId="5" applyNumberFormat="1" applyFont="1" applyFill="1" applyBorder="1" applyAlignment="1" applyProtection="1">
      <alignment horizontal="right"/>
    </xf>
    <xf numFmtId="37" fontId="49" fillId="0" borderId="24" xfId="0" applyNumberFormat="1" applyFont="1" applyBorder="1"/>
    <xf numFmtId="182" fontId="39" fillId="0" borderId="0" xfId="5" applyNumberFormat="1" applyFont="1" applyFill="1" applyBorder="1" applyAlignment="1" applyProtection="1">
      <alignment horizontal="right"/>
    </xf>
    <xf numFmtId="3" fontId="50" fillId="0" borderId="0" xfId="0" applyNumberFormat="1" applyFont="1"/>
    <xf numFmtId="0" fontId="39" fillId="0" borderId="7" xfId="0" applyFont="1" applyBorder="1" applyAlignment="1">
      <alignment horizontal="left" indent="1"/>
    </xf>
    <xf numFmtId="3" fontId="50" fillId="0" borderId="7" xfId="0" applyNumberFormat="1" applyFont="1" applyBorder="1"/>
    <xf numFmtId="7" fontId="49" fillId="0" borderId="0" xfId="0" applyNumberFormat="1" applyFont="1"/>
    <xf numFmtId="183" fontId="39" fillId="0" borderId="0" xfId="0" applyNumberFormat="1" applyFont="1" applyAlignment="1">
      <alignment horizontal="right"/>
    </xf>
    <xf numFmtId="37" fontId="49" fillId="0" borderId="0" xfId="0" applyNumberFormat="1" applyFont="1" applyAlignment="1">
      <alignment horizontal="right"/>
    </xf>
    <xf numFmtId="184" fontId="49" fillId="0" borderId="0" xfId="5" applyNumberFormat="1" applyFont="1" applyFill="1" applyBorder="1" applyAlignment="1" applyProtection="1">
      <alignment horizontal="right"/>
    </xf>
    <xf numFmtId="184" fontId="39" fillId="0" borderId="0" xfId="5" applyNumberFormat="1" applyFont="1" applyFill="1" applyBorder="1" applyAlignment="1" applyProtection="1">
      <alignment horizontal="right"/>
    </xf>
    <xf numFmtId="188" fontId="39" fillId="0" borderId="0" xfId="5" applyNumberFormat="1" applyFont="1" applyFill="1" applyBorder="1" applyAlignment="1" applyProtection="1">
      <alignment horizontal="right"/>
    </xf>
    <xf numFmtId="37" fontId="49" fillId="0" borderId="7" xfId="0" quotePrefix="1" applyNumberFormat="1" applyFont="1" applyBorder="1" applyAlignment="1">
      <alignment horizontal="right"/>
    </xf>
    <xf numFmtId="185" fontId="49" fillId="0" borderId="2" xfId="5" applyNumberFormat="1" applyFont="1" applyFill="1" applyBorder="1" applyAlignment="1">
      <alignment horizontal="right"/>
    </xf>
    <xf numFmtId="37" fontId="49" fillId="0" borderId="0" xfId="2" applyNumberFormat="1" applyFont="1" applyAlignment="1">
      <alignment horizontal="right"/>
    </xf>
    <xf numFmtId="185" fontId="49" fillId="0" borderId="0" xfId="5" applyNumberFormat="1" applyFont="1" applyFill="1" applyBorder="1" applyAlignment="1">
      <alignment horizontal="right"/>
    </xf>
    <xf numFmtId="0" fontId="49" fillId="0" borderId="7" xfId="0" applyFont="1" applyBorder="1" applyAlignment="1">
      <alignment horizontal="left" indent="2"/>
    </xf>
    <xf numFmtId="37" fontId="49" fillId="0" borderId="10" xfId="7" applyNumberFormat="1" applyFont="1" applyFill="1" applyBorder="1"/>
    <xf numFmtId="37" fontId="49" fillId="0" borderId="10" xfId="7" quotePrefix="1" applyNumberFormat="1" applyFont="1" applyFill="1" applyBorder="1" applyAlignment="1">
      <alignment horizontal="right"/>
    </xf>
    <xf numFmtId="37" fontId="49" fillId="0" borderId="10" xfId="7" applyNumberFormat="1" applyFont="1" applyFill="1" applyBorder="1" applyAlignment="1">
      <alignment horizontal="right"/>
    </xf>
    <xf numFmtId="37" fontId="49" fillId="0" borderId="0" xfId="7" applyNumberFormat="1" applyFont="1" applyFill="1" applyBorder="1"/>
    <xf numFmtId="37" fontId="49" fillId="0" borderId="0" xfId="7" applyNumberFormat="1" applyFont="1" applyFill="1" applyBorder="1" applyAlignment="1">
      <alignment horizontal="right"/>
    </xf>
    <xf numFmtId="37" fontId="49" fillId="0" borderId="0" xfId="7" quotePrefix="1" applyNumberFormat="1" applyFont="1" applyFill="1" applyBorder="1" applyAlignment="1" applyProtection="1">
      <alignment horizontal="right"/>
    </xf>
    <xf numFmtId="0" fontId="49" fillId="0" borderId="7" xfId="0" applyFont="1" applyBorder="1" applyAlignment="1">
      <alignment horizontal="left" indent="1"/>
    </xf>
    <xf numFmtId="185" fontId="49" fillId="0" borderId="7" xfId="5" applyNumberFormat="1" applyFont="1" applyFill="1" applyBorder="1" applyAlignment="1">
      <alignment horizontal="right"/>
    </xf>
    <xf numFmtId="37" fontId="49" fillId="0" borderId="0" xfId="6" applyNumberFormat="1" applyFont="1" applyFill="1" applyBorder="1"/>
    <xf numFmtId="186" fontId="49" fillId="0" borderId="0" xfId="0" applyNumberFormat="1" applyFont="1"/>
    <xf numFmtId="37" fontId="49" fillId="0" borderId="7" xfId="6" applyNumberFormat="1" applyFont="1" applyFill="1" applyBorder="1"/>
    <xf numFmtId="37" fontId="49" fillId="0" borderId="7" xfId="0" applyNumberFormat="1" applyFont="1" applyBorder="1"/>
    <xf numFmtId="37" fontId="49" fillId="0" borderId="10" xfId="0" applyNumberFormat="1" applyFont="1" applyBorder="1"/>
    <xf numFmtId="37" fontId="39" fillId="0" borderId="10" xfId="0" applyNumberFormat="1" applyFont="1" applyBorder="1"/>
    <xf numFmtId="0" fontId="49" fillId="0" borderId="0" xfId="0" applyFont="1" applyAlignment="1">
      <alignment horizontal="left"/>
    </xf>
    <xf numFmtId="0" fontId="49" fillId="0" borderId="30" xfId="0" applyFont="1" applyBorder="1"/>
    <xf numFmtId="37" fontId="49" fillId="0" borderId="31" xfId="6" applyNumberFormat="1" applyFont="1" applyFill="1" applyBorder="1"/>
    <xf numFmtId="37" fontId="49" fillId="0" borderId="32" xfId="6" applyNumberFormat="1" applyFont="1" applyFill="1" applyBorder="1"/>
    <xf numFmtId="0" fontId="39" fillId="0" borderId="30" xfId="0" applyFont="1" applyBorder="1"/>
    <xf numFmtId="37" fontId="39" fillId="0" borderId="31" xfId="7" applyNumberFormat="1" applyFont="1" applyFill="1" applyBorder="1"/>
    <xf numFmtId="37" fontId="39" fillId="0" borderId="32" xfId="7" applyNumberFormat="1" applyFont="1" applyFill="1" applyBorder="1"/>
    <xf numFmtId="39" fontId="39" fillId="0" borderId="31" xfId="5" applyNumberFormat="1" applyFont="1" applyFill="1" applyBorder="1" applyAlignment="1">
      <alignment horizontal="right"/>
    </xf>
    <xf numFmtId="39" fontId="39" fillId="0" borderId="32" xfId="5" applyNumberFormat="1" applyFont="1" applyFill="1" applyBorder="1" applyAlignment="1">
      <alignment horizontal="right"/>
    </xf>
    <xf numFmtId="0" fontId="38" fillId="0" borderId="9" xfId="0" applyFont="1" applyBorder="1" applyAlignment="1">
      <alignment horizontal="center" vertical="center"/>
    </xf>
    <xf numFmtId="0" fontId="38" fillId="0" borderId="9" xfId="0" applyFont="1" applyBorder="1" applyAlignment="1">
      <alignment horizontal="right" vertical="center"/>
    </xf>
    <xf numFmtId="0" fontId="51" fillId="0" borderId="0" xfId="0" applyFont="1"/>
    <xf numFmtId="44" fontId="51" fillId="0" borderId="0" xfId="2" applyFont="1"/>
    <xf numFmtId="43" fontId="51" fillId="0" borderId="0" xfId="1" applyFont="1"/>
    <xf numFmtId="44" fontId="51" fillId="0" borderId="0" xfId="2" applyFont="1" applyFill="1"/>
    <xf numFmtId="10" fontId="51" fillId="0" borderId="0" xfId="3" applyNumberFormat="1" applyFont="1"/>
    <xf numFmtId="10" fontId="51" fillId="3" borderId="0" xfId="3" applyNumberFormat="1" applyFont="1" applyFill="1"/>
    <xf numFmtId="0" fontId="52" fillId="0" borderId="0" xfId="0" applyFont="1"/>
    <xf numFmtId="0" fontId="42" fillId="0" borderId="9" xfId="0" applyFont="1" applyBorder="1" applyAlignment="1">
      <alignment horizontal="center" wrapText="1"/>
    </xf>
    <xf numFmtId="167" fontId="52" fillId="3" borderId="0" xfId="1" applyNumberFormat="1" applyFont="1" applyFill="1"/>
    <xf numFmtId="44" fontId="52" fillId="0" borderId="0" xfId="2" applyFont="1"/>
    <xf numFmtId="43" fontId="52" fillId="0" borderId="0" xfId="1" applyFont="1"/>
    <xf numFmtId="44" fontId="52" fillId="0" borderId="0" xfId="2" applyFont="1" applyFill="1"/>
    <xf numFmtId="10" fontId="52" fillId="0" borderId="0" xfId="3" applyNumberFormat="1" applyFont="1"/>
    <xf numFmtId="10" fontId="52" fillId="3" borderId="0" xfId="3" applyNumberFormat="1" applyFont="1" applyFill="1"/>
    <xf numFmtId="0" fontId="51" fillId="0" borderId="9" xfId="0" applyFont="1" applyBorder="1"/>
    <xf numFmtId="167" fontId="51" fillId="0" borderId="9" xfId="1" applyNumberFormat="1" applyFont="1" applyBorder="1"/>
    <xf numFmtId="43" fontId="51" fillId="0" borderId="9" xfId="0" applyNumberFormat="1" applyFont="1" applyBorder="1"/>
    <xf numFmtId="44" fontId="51" fillId="0" borderId="9" xfId="0" applyNumberFormat="1" applyFont="1" applyBorder="1"/>
    <xf numFmtId="0" fontId="51" fillId="3" borderId="0" xfId="0" applyFont="1" applyFill="1"/>
    <xf numFmtId="0" fontId="51" fillId="0" borderId="0" xfId="0" applyFont="1" applyAlignment="1">
      <alignment wrapText="1"/>
    </xf>
    <xf numFmtId="0" fontId="50" fillId="0" borderId="9" xfId="0" applyFont="1" applyBorder="1" applyAlignment="1">
      <alignment horizontal="center"/>
    </xf>
    <xf numFmtId="0" fontId="53" fillId="0" borderId="9" xfId="0" applyFont="1" applyBorder="1" applyAlignment="1">
      <alignment horizontal="center" vertical="center"/>
    </xf>
    <xf numFmtId="6" fontId="51" fillId="0" borderId="9" xfId="0" applyNumberFormat="1" applyFont="1" applyBorder="1"/>
    <xf numFmtId="167" fontId="51" fillId="0" borderId="9" xfId="0" applyNumberFormat="1" applyFont="1" applyBorder="1"/>
    <xf numFmtId="165" fontId="51" fillId="0" borderId="9" xfId="3" applyNumberFormat="1" applyFont="1" applyBorder="1"/>
    <xf numFmtId="189" fontId="51" fillId="0" borderId="9" xfId="0" applyNumberFormat="1" applyFont="1" applyBorder="1"/>
    <xf numFmtId="2" fontId="51" fillId="0" borderId="9" xfId="0" applyNumberFormat="1" applyFont="1" applyBorder="1"/>
    <xf numFmtId="44" fontId="51" fillId="2" borderId="0" xfId="2" applyFont="1" applyFill="1"/>
    <xf numFmtId="0" fontId="50" fillId="0" borderId="9" xfId="0" applyFont="1" applyBorder="1"/>
    <xf numFmtId="187" fontId="51" fillId="0" borderId="0" xfId="0" applyNumberFormat="1" applyFont="1"/>
    <xf numFmtId="187" fontId="51" fillId="3" borderId="0" xfId="0" applyNumberFormat="1" applyFont="1" applyFill="1"/>
    <xf numFmtId="44" fontId="51" fillId="3" borderId="0" xfId="2" applyFont="1" applyFill="1"/>
    <xf numFmtId="44" fontId="51" fillId="0" borderId="0" xfId="0" applyNumberFormat="1" applyFont="1"/>
    <xf numFmtId="44" fontId="51" fillId="3" borderId="0" xfId="0" applyNumberFormat="1" applyFont="1" applyFill="1"/>
    <xf numFmtId="0" fontId="50" fillId="0" borderId="35" xfId="0" applyFont="1" applyBorder="1"/>
    <xf numFmtId="0" fontId="50" fillId="0" borderId="37" xfId="0" applyFont="1" applyBorder="1"/>
    <xf numFmtId="0" fontId="49" fillId="0" borderId="0" xfId="0" applyFont="1" applyFill="1" applyAlignment="1">
      <alignment horizontal="left" indent="2"/>
    </xf>
    <xf numFmtId="167" fontId="51" fillId="0" borderId="9" xfId="1" applyNumberFormat="1" applyFont="1" applyFill="1" applyBorder="1"/>
    <xf numFmtId="0" fontId="52" fillId="3" borderId="0" xfId="0" applyFont="1" applyFill="1"/>
    <xf numFmtId="0" fontId="52" fillId="0" borderId="0" xfId="0" applyFont="1" applyAlignment="1">
      <alignment wrapText="1"/>
    </xf>
    <xf numFmtId="0" fontId="54" fillId="0" borderId="0" xfId="0" applyFont="1"/>
    <xf numFmtId="0" fontId="55" fillId="0" borderId="9" xfId="0" applyFont="1" applyBorder="1" applyAlignment="1">
      <alignment horizontal="center" wrapText="1"/>
    </xf>
    <xf numFmtId="167" fontId="54" fillId="3" borderId="0" xfId="1" applyNumberFormat="1" applyFont="1" applyFill="1"/>
    <xf numFmtId="44" fontId="54" fillId="0" borderId="0" xfId="2" applyFont="1"/>
    <xf numFmtId="43" fontId="54" fillId="0" borderId="0" xfId="1" applyFont="1"/>
    <xf numFmtId="10" fontId="54" fillId="0" borderId="0" xfId="3" applyNumberFormat="1" applyFont="1"/>
    <xf numFmtId="0" fontId="54" fillId="3" borderId="0" xfId="0" applyFont="1" applyFill="1"/>
    <xf numFmtId="0" fontId="43" fillId="0" borderId="9" xfId="0" applyFont="1" applyBorder="1" applyAlignment="1">
      <alignment horizontal="center" vertical="center"/>
    </xf>
    <xf numFmtId="0" fontId="43" fillId="0" borderId="9" xfId="0" applyFont="1" applyBorder="1" applyAlignment="1">
      <alignment horizontal="right" vertical="center"/>
    </xf>
    <xf numFmtId="0" fontId="11" fillId="4" borderId="0" xfId="0" applyFont="1" applyFill="1" applyAlignment="1">
      <alignment horizontal="center"/>
    </xf>
    <xf numFmtId="0" fontId="49" fillId="0" borderId="24" xfId="0" applyFont="1" applyBorder="1" applyAlignment="1">
      <alignment horizontal="left"/>
    </xf>
    <xf numFmtId="0" fontId="51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38" fillId="0" borderId="35" xfId="0" applyFont="1" applyBorder="1" applyAlignment="1">
      <alignment horizontal="left" vertical="center"/>
    </xf>
    <xf numFmtId="0" fontId="38" fillId="0" borderId="36" xfId="0" applyFont="1" applyBorder="1" applyAlignment="1">
      <alignment horizontal="left" vertical="center"/>
    </xf>
    <xf numFmtId="0" fontId="38" fillId="0" borderId="37" xfId="0" applyFont="1" applyBorder="1" applyAlignment="1">
      <alignment horizontal="left" vertical="center"/>
    </xf>
    <xf numFmtId="0" fontId="38" fillId="0" borderId="35" xfId="0" applyFont="1" applyBorder="1" applyAlignment="1">
      <alignment horizontal="center" vertical="center"/>
    </xf>
    <xf numFmtId="0" fontId="38" fillId="0" borderId="36" xfId="0" applyFont="1" applyBorder="1" applyAlignment="1">
      <alignment horizontal="center" vertical="center"/>
    </xf>
    <xf numFmtId="0" fontId="38" fillId="0" borderId="37" xfId="0" applyFont="1" applyBorder="1" applyAlignment="1">
      <alignment horizontal="center" vertical="center"/>
    </xf>
    <xf numFmtId="0" fontId="39" fillId="0" borderId="2" xfId="0" applyFont="1" applyBorder="1" applyAlignment="1">
      <alignment horizontal="left" vertical="center"/>
    </xf>
    <xf numFmtId="0" fontId="51" fillId="0" borderId="9" xfId="0" applyFont="1" applyBorder="1" applyAlignment="1">
      <alignment horizontal="center"/>
    </xf>
    <xf numFmtId="0" fontId="43" fillId="0" borderId="35" xfId="0" applyFont="1" applyBorder="1" applyAlignment="1">
      <alignment horizontal="left" vertical="center"/>
    </xf>
    <xf numFmtId="0" fontId="43" fillId="0" borderId="36" xfId="0" applyFont="1" applyBorder="1" applyAlignment="1">
      <alignment horizontal="left" vertical="center"/>
    </xf>
    <xf numFmtId="0" fontId="43" fillId="0" borderId="37" xfId="0" applyFont="1" applyBorder="1" applyAlignment="1">
      <alignment horizontal="left" vertical="center"/>
    </xf>
    <xf numFmtId="0" fontId="43" fillId="0" borderId="35" xfId="0" applyFont="1" applyBorder="1" applyAlignment="1">
      <alignment horizontal="center" vertical="center"/>
    </xf>
    <xf numFmtId="0" fontId="43" fillId="0" borderId="36" xfId="0" applyFont="1" applyBorder="1" applyAlignment="1">
      <alignment horizontal="center" vertical="center"/>
    </xf>
    <xf numFmtId="0" fontId="43" fillId="0" borderId="37" xfId="0" applyFont="1" applyBorder="1" applyAlignment="1">
      <alignment horizontal="center" vertical="center"/>
    </xf>
    <xf numFmtId="0" fontId="40" fillId="0" borderId="24" xfId="0" applyFont="1" applyBorder="1" applyAlignment="1">
      <alignment horizontal="left"/>
    </xf>
    <xf numFmtId="0" fontId="41" fillId="0" borderId="24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6" fillId="0" borderId="0" xfId="0" applyFont="1" applyAlignment="1">
      <alignment horizontal="left" wrapText="1"/>
    </xf>
    <xf numFmtId="0" fontId="46" fillId="0" borderId="5" xfId="0" applyFont="1" applyBorder="1" applyAlignment="1">
      <alignment horizontal="left" wrapText="1"/>
    </xf>
    <xf numFmtId="0" fontId="9" fillId="20" borderId="0" xfId="0" applyFont="1" applyFill="1" applyAlignment="1"/>
    <xf numFmtId="0" fontId="9" fillId="0" borderId="0" xfId="0" applyFont="1" applyAlignment="1"/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8">
    <cellStyle name="Comma" xfId="1" builtinId="3"/>
    <cellStyle name="Comma 12" xfId="5" xr:uid="{70AA1821-4A4C-4E83-B7C2-5101C3214348}"/>
    <cellStyle name="Currency" xfId="2" builtinId="4"/>
    <cellStyle name="Currency [0] 7" xfId="7" xr:uid="{CE9E807D-5487-4D99-A3E3-CC7EBB100FE5}"/>
    <cellStyle name="Currency 49" xfId="6" xr:uid="{123B3383-2A0D-473E-84C5-A747BCF694DD}"/>
    <cellStyle name="Hyperlink" xfId="4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9" Type="http://schemas.openxmlformats.org/officeDocument/2006/relationships/sheetMetadata" Target="metadata.xml"/><Relationship Id="rId21" Type="http://schemas.openxmlformats.org/officeDocument/2006/relationships/externalLink" Target="externalLinks/externalLink2.xml"/><Relationship Id="rId34" Type="http://schemas.openxmlformats.org/officeDocument/2006/relationships/externalLink" Target="externalLinks/externalLink15.xml"/><Relationship Id="rId42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41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37" Type="http://schemas.openxmlformats.org/officeDocument/2006/relationships/styles" Target="styles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externalLink" Target="externalLinks/externalLink16.xml"/><Relationship Id="rId43" Type="http://schemas.openxmlformats.org/officeDocument/2006/relationships/customXml" Target="../customXml/item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38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Societal</a:t>
            </a:r>
            <a:r>
              <a:rPr lang="en-US" baseline="0"/>
              <a:t> benefit (avoided damages in nominal dollars) per passenger EV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097003499562554"/>
          <c:y val="0.27882214369846881"/>
          <c:w val="0.83458552055992996"/>
          <c:h val="0.63543807907403804"/>
        </c:manualLayout>
      </c:layout>
      <c:lineChart>
        <c:grouping val="standard"/>
        <c:varyColors val="0"/>
        <c:ser>
          <c:idx val="0"/>
          <c:order val="0"/>
          <c:tx>
            <c:v>Low end of range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'Societal benefit'!$C$7:$C$17</c:f>
              <c:numCache>
                <c:formatCode>General</c:formatCode>
                <c:ptCount val="1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</c:numCache>
            </c:numRef>
          </c:cat>
          <c:val>
            <c:numRef>
              <c:f>'Societal benefit'!$G$7:$G$17</c:f>
              <c:numCache>
                <c:formatCode>_("$"* #,##0.00_);_("$"* \(#,##0.00\);_("$"* "-"??_);_(@_)</c:formatCode>
                <c:ptCount val="11"/>
                <c:pt idx="0">
                  <c:v>50.139744260090197</c:v>
                </c:pt>
                <c:pt idx="1">
                  <c:v>51.708528550057174</c:v>
                </c:pt>
                <c:pt idx="2">
                  <c:v>53.119454987352242</c:v>
                </c:pt>
                <c:pt idx="3">
                  <c:v>54.23442318531395</c:v>
                </c:pt>
                <c:pt idx="4">
                  <c:v>56.547922026666726</c:v>
                </c:pt>
                <c:pt idx="5">
                  <c:v>58.601989327384587</c:v>
                </c:pt>
                <c:pt idx="6">
                  <c:v>60.29724480805281</c:v>
                </c:pt>
                <c:pt idx="7">
                  <c:v>62.456151337011477</c:v>
                </c:pt>
                <c:pt idx="8">
                  <c:v>65.165949895014435</c:v>
                </c:pt>
                <c:pt idx="9">
                  <c:v>66.934999683085337</c:v>
                </c:pt>
                <c:pt idx="10">
                  <c:v>68.681699830740428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0F-4CD9-A851-53EC65AC75E1}"/>
            </c:ext>
          </c:extLst>
        </c:ser>
        <c:ser>
          <c:idx val="1"/>
          <c:order val="1"/>
          <c:tx>
            <c:v>High end of range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'Societal benefit'!$C$7:$C$17</c:f>
              <c:numCache>
                <c:formatCode>General</c:formatCode>
                <c:ptCount val="11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2026</c:v>
                </c:pt>
                <c:pt idx="7">
                  <c:v>2027</c:v>
                </c:pt>
                <c:pt idx="8">
                  <c:v>2028</c:v>
                </c:pt>
                <c:pt idx="9">
                  <c:v>2029</c:v>
                </c:pt>
                <c:pt idx="10">
                  <c:v>2030</c:v>
                </c:pt>
              </c:numCache>
            </c:numRef>
          </c:cat>
          <c:val>
            <c:numRef>
              <c:f>'Societal benefit'!$G$20:$G$30</c:f>
              <c:numCache>
                <c:formatCode>_("$"* #,##0.00_);_("$"* \(#,##0.00\);_("$"* "-"??_);_(@_)</c:formatCode>
                <c:ptCount val="11"/>
                <c:pt idx="0">
                  <c:v>343.76614386341635</c:v>
                </c:pt>
                <c:pt idx="1">
                  <c:v>356.60844958617832</c:v>
                </c:pt>
                <c:pt idx="2">
                  <c:v>369.21024695256023</c:v>
                </c:pt>
                <c:pt idx="3">
                  <c:v>381.28627256114112</c:v>
                </c:pt>
                <c:pt idx="4">
                  <c:v>396.97356972862843</c:v>
                </c:pt>
                <c:pt idx="5">
                  <c:v>412.25296334369034</c:v>
                </c:pt>
                <c:pt idx="6">
                  <c:v>426.74162535085105</c:v>
                </c:pt>
                <c:pt idx="7">
                  <c:v>442.97659806225488</c:v>
                </c:pt>
                <c:pt idx="8">
                  <c:v>460.94044528379965</c:v>
                </c:pt>
                <c:pt idx="9">
                  <c:v>476.59085905393499</c:v>
                </c:pt>
                <c:pt idx="10">
                  <c:v>492.43811599065197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0F-4CD9-A851-53EC65AC7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0982016"/>
        <c:axId val="80983552"/>
      </c:lineChart>
      <c:catAx>
        <c:axId val="80982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983552"/>
        <c:crosses val="autoZero"/>
        <c:auto val="1"/>
        <c:lblAlgn val="ctr"/>
        <c:lblOffset val="100"/>
        <c:noMultiLvlLbl val="0"/>
      </c:catAx>
      <c:valAx>
        <c:axId val="8098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0982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</xdr:colOff>
      <xdr:row>38</xdr:row>
      <xdr:rowOff>57150</xdr:rowOff>
    </xdr:from>
    <xdr:to>
      <xdr:col>13</xdr:col>
      <xdr:colOff>476250</xdr:colOff>
      <xdr:row>45</xdr:row>
      <xdr:rowOff>180976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08AE2221-0483-4C8B-9935-517491667EB3}"/>
            </a:ext>
          </a:extLst>
        </xdr:cNvPr>
        <xdr:cNvCxnSpPr/>
      </xdr:nvCxnSpPr>
      <xdr:spPr>
        <a:xfrm flipV="1">
          <a:off x="12790170" y="7776210"/>
          <a:ext cx="1135380" cy="1556386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</xdr:colOff>
      <xdr:row>32</xdr:row>
      <xdr:rowOff>114300</xdr:rowOff>
    </xdr:from>
    <xdr:to>
      <xdr:col>6</xdr:col>
      <xdr:colOff>288925</xdr:colOff>
      <xdr:row>46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C87145D-4916-42F3-A614-C692F4378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NPCPTB01\Home\DATA\DO\Gas_Regulatory_Support\Pga%20Filed\Year%202002\PGA%20GCRM%20of%202002%2009%20September\Source%20Worksheets\PGA-Sep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ATA\DO\Gas_Regulatory_Support\WEGOWG_Stuff\REVCO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NEF-Shared-LO\Advanced%20Transport\00_Insight\00_%20Insight%20notes%20files\2017\11_16_EU%20CO2%20scenarios\EU%20vehicle%20CO2%20regulation%20Scenarios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NEF-Shared-LO\Advanced%20Transport\00_Insight\00_%20Insight%20notes%20files\2018\04_06%20NHTSA%20and%20EPA%20midterm%20review\CAFE%20projection%20midterm%20review%202018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NPCPGO01\Home\PRKJ12\Working%20Files\Xcel%20IR%20Derivatives\FinCad%20Models\MTM%20Models\Reports\DCEA_curve23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plntap1\denver-place\Risk\data\Risk\Load%20Forecasting\Renewable\Solar\PSCo%20Model\Update\2010\PSCo%20Res%20Solar%20Model%20ExtendedV2-20y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NPCPTB01\Home\DATA\DO\Gas_Regulatory_Support\IBS%20BILL%20TEST\IBS%20Bill%20Print%20verification%20mode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NPCPGO01\Home\PRKJ12\Working%20Files\Xcel%20IR%20Derivatives\FinCad%20Models\MTM%20Models\Reports\XEL%20Swap%20Portfolio_VaR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ATA\FI\CorpAcctgBudgeting\GCRM\0202pga%20for%20WGC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London\NEF\NEF-Shared-LO\Advanced%20Transport\00_Insight\00_%20Insight%20notes%20files\2018\EVO%202018\Salim%20work\Background%20data\Tableau%20data%20on%20EVSE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plntap1\risk$\Load%20Forecasting\Weather%20Flash\2009%20Flash%20Reports\03%20Mar\Mar%20Intramonth%20Flash%20Data%20030409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NPCPTB01\Home\DATA\DO\Plan\TARIFF\PGAFINAL\PGA%20GCRM%20July%201%201999\PSC9905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NEF-Shared-LO\Advanced%20Transport\00_Insight\00_%20Insight%20notes%20files\2017\US%20policy%20scenarios\Work%20files\Efficiency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plntap1\risk$\Load%20Forecasting\Weather%20Flash\2007%20Flash%20Reports\Nov%20Intra\Nov%20Intramonth%20Flash%20Data%20113007%20EOM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ATA\DO\Gas_Regulatory_Support\Merger_ANB\revenue\Revenue%20year%202002%20for%20combined%20tariff\WGC%20Forecasted%20Revenue%20Year%202002\WisGas%20revenue%20year%202002%20for%20combined%20tariff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SSP-SS/Enviro-Policy/NSP-M/02%20Resource%20Planning/IRP%202020-2034/Modeling/SO%20-%20_SCENARIO%209_DR_AD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CIM"/>
      <sheetName val="Schedule C1"/>
      <sheetName val="Rates"/>
      <sheetName val="Indices"/>
      <sheetName val="Instruction"/>
      <sheetName val="Index Cal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 Outputs"/>
      <sheetName val="Total Margin"/>
      <sheetName val="Uncollectibles"/>
      <sheetName val="Inputs_Margin"/>
      <sheetName val="Load 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ZLEV"/>
      <sheetName val="Various input parameters"/>
      <sheetName val="Regulation and performance"/>
      <sheetName val="OEM BAU"/>
      <sheetName val="OEM D40"/>
      <sheetName val="OEM"/>
      <sheetName val="Estimate 2030"/>
      <sheetName val="Volkswagen"/>
      <sheetName val="Renault-Nissan"/>
      <sheetName val="PSA"/>
      <sheetName val="Ford"/>
      <sheetName val="GM"/>
      <sheetName val="BMW"/>
      <sheetName val="Fiat"/>
      <sheetName val="Daimler"/>
      <sheetName val="Toyota"/>
      <sheetName val="NEDC-WLTP conversion"/>
      <sheetName val="Slope"/>
      <sheetName val="Volkswagen (2)"/>
      <sheetName val="Fiat (2)"/>
      <sheetName val="Sales"/>
      <sheetName val="ICCT"/>
      <sheetName val="Styles"/>
      <sheetName val="ExampleSheet"/>
      <sheetName val="ChartExamples"/>
      <sheetName val="AddInExamples"/>
      <sheetName val="VBA"/>
      <sheetName val="ChartTempl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dustry sales"/>
      <sheetName val="ZEV charts"/>
      <sheetName val="ICCT cost curves"/>
      <sheetName val="CAFE and GHG"/>
      <sheetName val="CAFE waterfall"/>
      <sheetName val="Waterfall 2"/>
      <sheetName val="Results 1%"/>
      <sheetName val="Results 2%"/>
      <sheetName val="Results 3%"/>
      <sheetName val="Results 4%"/>
      <sheetName val="Results lower standards"/>
      <sheetName val="Results original"/>
      <sheetName val="Results credits"/>
      <sheetName val="Results"/>
      <sheetName val="Results comparison"/>
      <sheetName val="ZEV calculation"/>
      <sheetName val="GM"/>
      <sheetName val="Ford"/>
      <sheetName val="Toyota"/>
      <sheetName val="FCA"/>
      <sheetName val="Honda"/>
      <sheetName val="Nissan"/>
      <sheetName val="FE targets"/>
      <sheetName val="Flexibilities"/>
      <sheetName val="FE alternative targets"/>
      <sheetName val="FE alternative CAFE"/>
      <sheetName val="Hist performance"/>
      <sheetName val="All OEM credit"/>
      <sheetName val="Sales"/>
      <sheetName val="Various"/>
      <sheetName val="Styles"/>
      <sheetName val="ExampleSheet"/>
      <sheetName val="ChartExamples"/>
      <sheetName val="AddInExamples"/>
      <sheetName val="VBA"/>
      <sheetName val="ChartTempl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mortizing Swap"/>
      <sheetName val="Cash Flow Tables"/>
      <sheetName val="Curve1"/>
      <sheetName val="Curve2"/>
      <sheetName val="VAR Output"/>
      <sheetName val="Raw CF input"/>
      <sheetName val="Data Input"/>
      <sheetName val="Holidays"/>
      <sheetName val="Graph of VAR"/>
      <sheetName val="Graph Component VAR"/>
      <sheetName val="Graph Mapped CFs"/>
      <sheetName val="VB Code"/>
      <sheetName val="FC switch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 Chart"/>
      <sheetName val="EPS"/>
      <sheetName val="Graphs2 (2)"/>
      <sheetName val="RES PA 100"/>
      <sheetName val="RES PA 80"/>
      <sheetName val="100 RES CALC"/>
      <sheetName val="80 RES CALC"/>
      <sheetName val="Scenarios"/>
      <sheetName val="Inputs Res"/>
      <sheetName val="assumptions"/>
      <sheetName val="NPV Res (2010)"/>
      <sheetName val="NPV Res (2011)"/>
      <sheetName val="NPV Res (2012)"/>
      <sheetName val="NPV Res (2013)"/>
      <sheetName val="NPV Res (2014)"/>
      <sheetName val="NPV Res (2015)"/>
      <sheetName val="NPV Res (2016)"/>
      <sheetName val="NPV Res (2017)"/>
      <sheetName val="NPV Res (2018)"/>
      <sheetName val="NPV Res (2019)"/>
      <sheetName val="NPV Res (2020)"/>
      <sheetName val="NPV Res (2021)"/>
      <sheetName val="NPV Res (2022)"/>
      <sheetName val="NPV Res (2023)"/>
      <sheetName val="NPV Res (2024)"/>
      <sheetName val="NPV Res (2025)"/>
      <sheetName val="base output"/>
      <sheetName val="demand"/>
      <sheetName val="Degrade"/>
      <sheetName val="Price Reduction"/>
      <sheetName val="Price"/>
      <sheetName val="Sunlight"/>
      <sheetName val="Sheet2"/>
      <sheetName val="Sheet4"/>
      <sheetName val="PV Price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Customer Profile"/>
      <sheetName val="CBS Bill"/>
      <sheetName val="CBS Detail Sum"/>
      <sheetName val="CBS Customer #1"/>
      <sheetName val="CBS Customer #2"/>
      <sheetName val="CBS Customer #3"/>
      <sheetName val="CBS Customer #4"/>
      <sheetName val="CBS Customer #5"/>
      <sheetName val="CBS Customer #6"/>
      <sheetName val="CBS Customer #7"/>
      <sheetName val="DABS Marketer Bill"/>
      <sheetName val="DABS Tenant Bill"/>
      <sheetName val="DABS Customer #1"/>
      <sheetName val="DABS Customer #2"/>
      <sheetName val="DABS Customer #3 "/>
      <sheetName val="DABS Customer #4"/>
      <sheetName val="DABS Customer #5"/>
      <sheetName val="DABS Customer #6"/>
      <sheetName val="DABS Marketer #1"/>
      <sheetName val="Rate Table"/>
      <sheetName val="overUnder take tab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ncial"/>
      <sheetName val="VAR Output"/>
      <sheetName val="Data Input"/>
      <sheetName val="Graph Mapped CFs"/>
      <sheetName val="Graph of VAR"/>
      <sheetName val="Graph Component VAR"/>
      <sheetName val="Raw CF input"/>
      <sheetName val="VB Cod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 Page"/>
      <sheetName val="WGC CSS 1"/>
      <sheetName val="WGC CSS 2"/>
      <sheetName val="WGC CSS 3"/>
      <sheetName val="WGC CSS SFT"/>
      <sheetName val="WG80"/>
      <sheetName val="Summary"/>
      <sheetName val="SCHED A"/>
      <sheetName val="SCHED B"/>
      <sheetName val="PkDemd"/>
      <sheetName val="NPkDemd"/>
      <sheetName val="GasCosts"/>
      <sheetName val="NewGasCosts"/>
      <sheetName val="PGASumm"/>
      <sheetName val="NEWUSS"/>
      <sheetName val="NEWICRTES"/>
      <sheetName val="Trans"/>
      <sheetName val="ANR\NNG"/>
      <sheetName val="CIS\GMS"/>
      <sheetName val="NEWCIS"/>
      <sheetName val="TRUEUPGAS"/>
      <sheetName val="USS"/>
      <sheetName val="ICRtes"/>
      <sheetName val="ICSummary"/>
      <sheetName val="Lock\Ca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Dashboard"/>
      <sheetName val="EVSE chart"/>
      <sheetName val="Fleet ratio"/>
      <sheetName val="Charging speed"/>
      <sheetName val="EVSE data"/>
      <sheetName val="Japan EV sales"/>
      <sheetName val="Germany EV sales"/>
      <sheetName val="UK EV sales"/>
      <sheetName val="Netherland EV sales"/>
      <sheetName val="timeseries_crosstab (14)"/>
      <sheetName val="Charging"/>
      <sheetName val="US EVSE"/>
      <sheetName val="US EV sales"/>
      <sheetName val="China EV sales"/>
      <sheetName val="Europe EV sales"/>
      <sheetName val="Styles"/>
      <sheetName val="ExampleSheet"/>
      <sheetName val="ChartExamples"/>
      <sheetName val="AddInExamples"/>
      <sheetName val="VBA"/>
      <sheetName val="ChartTempl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1"/>
      <sheetName val="Sheet1"/>
      <sheetName val="Process"/>
      <sheetName val="Lookups"/>
      <sheetName val="Documentation"/>
      <sheetName val="Tax Rates &amp; Total Shares"/>
      <sheetName val="Margins"/>
      <sheetName val="Gas Weather Impact"/>
      <sheetName val="Electric Weather Impact"/>
      <sheetName val="Normals"/>
      <sheetName val="HDDCCD Tracking"/>
      <sheetName val="Weather Final"/>
      <sheetName val="Previous Week"/>
      <sheetName val="Intramonth Flash"/>
      <sheetName val="Input"/>
      <sheetName val="Weather"/>
      <sheetName val="KMSP"/>
      <sheetName val="KFAR"/>
      <sheetName val="KFSD"/>
      <sheetName val="KEA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 53"/>
      <sheetName val="Intro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FE graphs"/>
      <sheetName val="CAFE summary"/>
      <sheetName val="CAFE data"/>
      <sheetName val="Model graphs"/>
      <sheetName val="Model summary"/>
      <sheetName val="BEV penetration"/>
      <sheetName val="Model range"/>
      <sheetName val="Model FE"/>
      <sheetName val="GM"/>
      <sheetName val="Ford"/>
      <sheetName val="Toyota"/>
      <sheetName val="FCA"/>
      <sheetName val="Honda"/>
      <sheetName val="Nissan"/>
      <sheetName val="Data"/>
      <sheetName val="OEM strategies"/>
      <sheetName val="FE targets"/>
      <sheetName val="Sheet2"/>
      <sheetName val="VB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okups"/>
      <sheetName val="Documentation"/>
      <sheetName val="Margins"/>
      <sheetName val="Weather Impact FGPP"/>
      <sheetName val="Gas Weather Impact"/>
      <sheetName val="Electric Weather Impact"/>
      <sheetName val="Weather Final"/>
      <sheetName val="Tax Rates &amp; Total Shares"/>
      <sheetName val="Intramonth Flash"/>
      <sheetName val="Process"/>
      <sheetName val="Input"/>
      <sheetName val="Weather"/>
      <sheetName val="KMSP"/>
      <sheetName val="KFAR"/>
      <sheetName val="KFSD"/>
      <sheetName val="KEAU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enue Requirement Reconcile"/>
      <sheetName val="Date Value"/>
      <sheetName val="All Revenues"/>
      <sheetName val="Change in Total Revenue $"/>
      <sheetName val="Change in Revenue $ &amp; %"/>
      <sheetName val="Unbundled Revenue $"/>
      <sheetName val="Proposed Margins"/>
      <sheetName val="Proposed Gas Rates"/>
      <sheetName val="Rate Design Toy"/>
      <sheetName val="Fast Rate Design Calculator"/>
      <sheetName val="Break -even estimator"/>
      <sheetName val="Sheet1"/>
      <sheetName val="Inputs_Discounts"/>
      <sheetName val="All Marginal Revenue"/>
      <sheetName val="Volumetric Marginal Revenues"/>
      <sheetName val="Fixed Marginal Revenues"/>
      <sheetName val="Gas Revenues"/>
      <sheetName val="Gas Cost Rates"/>
      <sheetName val="Customer Therms &amp; Nom's"/>
      <sheetName val="Customer Counts"/>
      <sheetName val="Margin Rates - Fixed"/>
      <sheetName val="Margin Rates - Volumetric"/>
      <sheetName val="New D1 Gas Revenues "/>
      <sheetName val="New D2 Gas Revenues"/>
      <sheetName val="New Commodity Gas Revenues"/>
      <sheetName val="New Surcharge Gas Revenues"/>
      <sheetName val="LS Power &amp; Interdepartmental"/>
      <sheetName val="LWAP"/>
      <sheetName val="GASRATES CALC"/>
      <sheetName val="Commodity Cost Calculation"/>
      <sheetName val="SJL Revenue "/>
      <sheetName val="2001rev for Impact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Module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Assumptions"/>
      <sheetName val="PVRR Results"/>
      <sheetName val="Linkdata"/>
      <sheetName val="Expansion Plan"/>
      <sheetName val="Energy Mix"/>
      <sheetName val="Emissions"/>
      <sheetName val="Fuel Burn"/>
      <sheetName val="Max Cap"/>
      <sheetName val="System Cost"/>
      <sheetName val="Unit Detail"/>
      <sheetName val="Trans Detail"/>
      <sheetName val="SystemCosts"/>
      <sheetName val="Capacity Adj"/>
      <sheetName val="New Units Added"/>
      <sheetName val="Interchange Cap"/>
      <sheetName val="Ext_Mkt_Price"/>
      <sheetName val="PVRR"/>
      <sheetName val="Proview"/>
      <sheetName val="Proview RM"/>
      <sheetName val="System Load"/>
      <sheetName val="Load Group Peak"/>
      <sheetName val="Load Group Energy"/>
      <sheetName val="Trans and Dist Credit"/>
      <sheetName val="DLC"/>
      <sheetName val="DSMCost"/>
      <sheetName val="CERIndex"/>
      <sheetName val="CER CapX"/>
      <sheetName val="CER Rate Base"/>
      <sheetName val="CERProjects"/>
      <sheetName val="RateBaseAdj"/>
      <sheetName val="Book Depr"/>
      <sheetName val="Return on RB"/>
      <sheetName val="Book Value"/>
      <sheetName val="Net Plant"/>
      <sheetName val="Accum Def Tax"/>
      <sheetName val="Current Tax"/>
      <sheetName val="Def Tax"/>
      <sheetName val="FuelBurn"/>
      <sheetName val="Fixed Fuel Costs"/>
      <sheetName val="PS Gen"/>
      <sheetName val="PS Firm Cap"/>
      <sheetName val="PS Pump"/>
      <sheetName val="PUMP O M"/>
      <sheetName val="PUMP VOM"/>
      <sheetName val="HydroGen"/>
      <sheetName val="Hydro Firm Cap"/>
      <sheetName val="Hydro OM"/>
      <sheetName val="TransGen"/>
      <sheetName val="Trans Firm Cap"/>
      <sheetName val="Trans Max Cap"/>
      <sheetName val="Trans Total Cost"/>
      <sheetName val="Trans Energy Costs"/>
      <sheetName val="Trans Emissions"/>
      <sheetName val="ThermalGen"/>
      <sheetName val="Thermal Firm Cap"/>
      <sheetName val="Thermal Max Cap"/>
      <sheetName val="Thermal Capacity Charge"/>
      <sheetName val="Thermal Fuel Burn"/>
      <sheetName val="Thermal Fuel Costs"/>
      <sheetName val="Thermal VOM"/>
      <sheetName val="Thermal O M"/>
      <sheetName val="Thermal SOx"/>
      <sheetName val="Thermal NOx"/>
      <sheetName val="Thermal CO2"/>
      <sheetName val="Thermal Other Effluents"/>
      <sheetName val="RECs"/>
      <sheetName val="Emissions Tons"/>
      <sheetName val="Emissions Cost"/>
      <sheetName val="Extern"/>
      <sheetName val="Externality Rate"/>
    </sheetNames>
    <sheetDataSet>
      <sheetData sheetId="0"/>
      <sheetData sheetId="1"/>
      <sheetData sheetId="2"/>
      <sheetData sheetId="3"/>
      <sheetData sheetId="4"/>
      <sheetData sheetId="5">
        <row r="5">
          <cell r="D5">
            <v>9.0211474162060767E-4</v>
          </cell>
          <cell r="E5">
            <v>4.8437956720590591E-3</v>
          </cell>
          <cell r="F5">
            <v>1.4025518437847495E-2</v>
          </cell>
          <cell r="G5">
            <v>5.8833557413890958E-3</v>
          </cell>
          <cell r="H5">
            <v>9.4454265199610532E-3</v>
          </cell>
          <cell r="I5">
            <v>2.543492615224352E-2</v>
          </cell>
          <cell r="J5">
            <v>2.1543484181165695E-2</v>
          </cell>
          <cell r="K5">
            <v>1.2173725757747889E-2</v>
          </cell>
          <cell r="L5">
            <v>9.6658649854362011E-3</v>
          </cell>
          <cell r="M5">
            <v>3.0861806561006233E-2</v>
          </cell>
          <cell r="N5">
            <v>2.7734426315873861E-2</v>
          </cell>
        </row>
        <row r="6">
          <cell r="D6">
            <v>15062.526123046875</v>
          </cell>
          <cell r="E6">
            <v>13471.1337890625</v>
          </cell>
          <cell r="F6">
            <v>14074.63671875</v>
          </cell>
          <cell r="G6">
            <v>15423.895751953125</v>
          </cell>
          <cell r="H6">
            <v>10317.77001953125</v>
          </cell>
          <cell r="I6">
            <v>7680.930419921875</v>
          </cell>
          <cell r="J6">
            <v>7341.4510498046875</v>
          </cell>
          <cell r="K6">
            <v>4585.890380859375</v>
          </cell>
          <cell r="L6">
            <v>941.45733642578125</v>
          </cell>
          <cell r="M6">
            <v>457.1751708984375</v>
          </cell>
          <cell r="N6">
            <v>517.07196044921875</v>
          </cell>
        </row>
        <row r="7">
          <cell r="D7">
            <v>14041.39404296875</v>
          </cell>
          <cell r="E7">
            <v>13538.989501953125</v>
          </cell>
          <cell r="F7">
            <v>13890.69384765625</v>
          </cell>
          <cell r="G7">
            <v>13372.28173828125</v>
          </cell>
          <cell r="H7">
            <v>13764.9013671875</v>
          </cell>
          <cell r="I7">
            <v>13575.80322265625</v>
          </cell>
          <cell r="J7">
            <v>14013.037109375</v>
          </cell>
          <cell r="K7">
            <v>13575.80322265625</v>
          </cell>
          <cell r="L7">
            <v>14024.62255859375</v>
          </cell>
          <cell r="M7">
            <v>13482.580078125</v>
          </cell>
          <cell r="N7">
            <v>13876.8544921875</v>
          </cell>
        </row>
        <row r="8">
          <cell r="D8">
            <v>846.71465587615967</v>
          </cell>
          <cell r="E8">
            <v>801.65116858482361</v>
          </cell>
          <cell r="F8">
            <v>807.218425989151</v>
          </cell>
          <cell r="G8">
            <v>701.22707962989807</v>
          </cell>
          <cell r="H8">
            <v>662.65834832191467</v>
          </cell>
          <cell r="I8">
            <v>441.99737000465393</v>
          </cell>
          <cell r="J8">
            <v>446.45368599891663</v>
          </cell>
          <cell r="K8">
            <v>428.14624047279358</v>
          </cell>
          <cell r="L8">
            <v>216.24977898597717</v>
          </cell>
          <cell r="M8">
            <v>214.06497478485107</v>
          </cell>
          <cell r="N8">
            <v>214.16726088523865</v>
          </cell>
        </row>
        <row r="9">
          <cell r="D9">
            <v>6619.5398254394531</v>
          </cell>
          <cell r="E9">
            <v>6583.8964233398438</v>
          </cell>
          <cell r="F9">
            <v>5951.4747314453125</v>
          </cell>
          <cell r="G9">
            <v>6787.2037963867188</v>
          </cell>
          <cell r="H9">
            <v>8136.748046875</v>
          </cell>
          <cell r="I9">
            <v>9437.2797241210938</v>
          </cell>
          <cell r="J9">
            <v>9300.0541687011719</v>
          </cell>
          <cell r="K9">
            <v>12016.490844726563</v>
          </cell>
          <cell r="L9">
            <v>11673.159301757813</v>
          </cell>
          <cell r="M9">
            <v>11155.977478027344</v>
          </cell>
          <cell r="N9">
            <v>10888.897003173828</v>
          </cell>
        </row>
        <row r="10">
          <cell r="D10">
            <v>709.22012805938721</v>
          </cell>
          <cell r="E10">
            <v>749.29086065292358</v>
          </cell>
          <cell r="F10">
            <v>641.90270614624023</v>
          </cell>
          <cell r="G10">
            <v>917.10722970962524</v>
          </cell>
          <cell r="H10">
            <v>1236.0604190826416</v>
          </cell>
          <cell r="I10">
            <v>556.51460242271423</v>
          </cell>
          <cell r="J10">
            <v>403.17886161804199</v>
          </cell>
          <cell r="K10">
            <v>387.79560089111328</v>
          </cell>
          <cell r="L10">
            <v>268.94110679626465</v>
          </cell>
          <cell r="M10">
            <v>353.53710174560547</v>
          </cell>
          <cell r="N10">
            <v>318.15058517456055</v>
          </cell>
        </row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D12">
            <v>23.722724914550781</v>
          </cell>
          <cell r="E12">
            <v>29.906523704528809</v>
          </cell>
          <cell r="F12">
            <v>25.351843118667603</v>
          </cell>
          <cell r="G12">
            <v>38.714918613433838</v>
          </cell>
          <cell r="H12">
            <v>29.010841369628906</v>
          </cell>
          <cell r="I12">
            <v>13.004666328430176</v>
          </cell>
          <cell r="J12">
            <v>13.303114414215088</v>
          </cell>
          <cell r="K12">
            <v>24.963371276855469</v>
          </cell>
          <cell r="L12">
            <v>0</v>
          </cell>
          <cell r="M12">
            <v>0</v>
          </cell>
          <cell r="N12">
            <v>0</v>
          </cell>
        </row>
        <row r="13">
          <cell r="D13">
            <v>2301.34565782547</v>
          </cell>
          <cell r="E13">
            <v>2606.4910303354263</v>
          </cell>
          <cell r="F13">
            <v>2682.8164837360382</v>
          </cell>
          <cell r="G13">
            <v>2682.8164837360382</v>
          </cell>
          <cell r="H13">
            <v>2685.6436586678028</v>
          </cell>
          <cell r="I13">
            <v>1405.3452110290527</v>
          </cell>
          <cell r="J13">
            <v>946.49427258968353</v>
          </cell>
          <cell r="K13">
            <v>946.30938291549683</v>
          </cell>
          <cell r="L13">
            <v>946.30924773216248</v>
          </cell>
          <cell r="M13">
            <v>946.30938291549683</v>
          </cell>
          <cell r="N13">
            <v>946.30938291549683</v>
          </cell>
        </row>
        <row r="14">
          <cell r="D14">
            <v>15049.850050449371</v>
          </cell>
          <cell r="E14">
            <v>16784.901809930801</v>
          </cell>
          <cell r="F14">
            <v>17559.315663814545</v>
          </cell>
          <cell r="G14">
            <v>17559.315968990326</v>
          </cell>
          <cell r="H14">
            <v>17561.508571147919</v>
          </cell>
          <cell r="I14">
            <v>17559.315386891365</v>
          </cell>
          <cell r="J14">
            <v>17559.31361246109</v>
          </cell>
          <cell r="K14">
            <v>17559.314313411713</v>
          </cell>
          <cell r="L14">
            <v>17564.295371055603</v>
          </cell>
          <cell r="M14">
            <v>17559.313868999481</v>
          </cell>
          <cell r="N14">
            <v>17559.315168857574</v>
          </cell>
        </row>
        <row r="15">
          <cell r="D15">
            <v>1765.2267390489578</v>
          </cell>
          <cell r="E15">
            <v>1791.8643796443939</v>
          </cell>
          <cell r="F15">
            <v>1822.6111299991608</v>
          </cell>
          <cell r="G15">
            <v>1852.2870156168938</v>
          </cell>
          <cell r="H15">
            <v>1887.1246191263199</v>
          </cell>
          <cell r="I15">
            <v>2688.2247962355614</v>
          </cell>
          <cell r="J15">
            <v>3493.7934237718582</v>
          </cell>
          <cell r="K15">
            <v>5074.4998526573181</v>
          </cell>
          <cell r="L15">
            <v>5893.5231710672379</v>
          </cell>
          <cell r="M15">
            <v>6684.5687156319618</v>
          </cell>
          <cell r="N15">
            <v>7489.0730262100697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</row>
        <row r="19">
          <cell r="D19">
            <v>54.322746276855469</v>
          </cell>
          <cell r="E19">
            <v>29.387626647949219</v>
          </cell>
          <cell r="F19">
            <v>21.264257431030273</v>
          </cell>
          <cell r="G19">
            <v>12.460367202758789</v>
          </cell>
          <cell r="H19">
            <v>63.813678741455078</v>
          </cell>
          <cell r="I19">
            <v>309.71487426757813</v>
          </cell>
          <cell r="J19">
            <v>227.6639404296875</v>
          </cell>
          <cell r="K19">
            <v>93.46807861328125</v>
          </cell>
          <cell r="L19">
            <v>274.6654052734375</v>
          </cell>
          <cell r="M19">
            <v>305.6783447265625</v>
          </cell>
          <cell r="N19">
            <v>281.55398559570313</v>
          </cell>
        </row>
      </sheetData>
      <sheetData sheetId="6">
        <row r="7">
          <cell r="D7">
            <v>13561.474609375</v>
          </cell>
          <cell r="E7">
            <v>12579.8798828125</v>
          </cell>
          <cell r="F7">
            <v>12728.0263671875</v>
          </cell>
          <cell r="G7">
            <v>14252.306640625</v>
          </cell>
          <cell r="H7">
            <v>10298.185546875</v>
          </cell>
          <cell r="I7">
            <v>7793.64208984375</v>
          </cell>
          <cell r="J7">
            <v>7355.3408203125</v>
          </cell>
          <cell r="K7">
            <v>5263.900390625</v>
          </cell>
          <cell r="L7">
            <v>1522.0745849609375</v>
          </cell>
          <cell r="M7">
            <v>1243.2987060546875</v>
          </cell>
          <cell r="N7">
            <v>1263.206787109375</v>
          </cell>
        </row>
        <row r="8">
          <cell r="D8">
            <v>250.5589599609375</v>
          </cell>
          <cell r="E8">
            <v>231.6680908203125</v>
          </cell>
          <cell r="F8">
            <v>227.85171508789063</v>
          </cell>
          <cell r="G8">
            <v>271.43130493164063</v>
          </cell>
          <cell r="H8">
            <v>184.32150268554688</v>
          </cell>
          <cell r="I8">
            <v>135.96484375</v>
          </cell>
          <cell r="J8">
            <v>109.58443450927734</v>
          </cell>
          <cell r="K8">
            <v>126.55512237548828</v>
          </cell>
          <cell r="L8">
            <v>59.474472045898438</v>
          </cell>
          <cell r="M8">
            <v>58.114505767822266</v>
          </cell>
          <cell r="N8">
            <v>56.918968200683594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file:///C:/SPSC204/Shared%20Documents/Forms/AllItems.aspx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B3520-434A-4F1B-BEE9-E31B32B6DB23}">
  <sheetPr>
    <tabColor theme="9" tint="0.79998168889431442"/>
  </sheetPr>
  <dimension ref="A1:W53"/>
  <sheetViews>
    <sheetView zoomScaleNormal="100" workbookViewId="0">
      <pane xSplit="2" ySplit="2" topLeftCell="F3" activePane="bottomRight" state="frozen"/>
      <selection pane="topRight" activeCell="F20" sqref="F20:I20"/>
      <selection pane="bottomLeft" activeCell="F20" sqref="F20:I20"/>
      <selection pane="bottomRight" activeCell="F20" sqref="F20:I20"/>
    </sheetView>
  </sheetViews>
  <sheetFormatPr defaultRowHeight="14.5" x14ac:dyDescent="0.35"/>
  <cols>
    <col min="1" max="1" width="6.81640625" customWidth="1"/>
    <col min="2" max="2" width="48.26953125" customWidth="1"/>
    <col min="3" max="5" width="16.1796875" hidden="1" customWidth="1"/>
    <col min="6" max="6" width="16.81640625" customWidth="1"/>
    <col min="7" max="9" width="15.7265625" customWidth="1"/>
    <col min="10" max="12" width="15.7265625" hidden="1" customWidth="1"/>
    <col min="13" max="20" width="14.453125" customWidth="1"/>
  </cols>
  <sheetData>
    <row r="1" spans="1:23" x14ac:dyDescent="0.35">
      <c r="B1" s="1"/>
      <c r="E1" s="1"/>
      <c r="F1" s="2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5">
      <c r="B2" s="3"/>
      <c r="C2" s="3">
        <v>2021</v>
      </c>
      <c r="D2" s="3">
        <v>2022</v>
      </c>
      <c r="E2" s="3">
        <f>D2+1</f>
        <v>2023</v>
      </c>
      <c r="F2" s="4">
        <f t="shared" ref="F2:L2" si="0">E2+1</f>
        <v>2024</v>
      </c>
      <c r="G2" s="5">
        <f t="shared" si="0"/>
        <v>2025</v>
      </c>
      <c r="H2" s="5">
        <f t="shared" si="0"/>
        <v>2026</v>
      </c>
      <c r="I2" s="6">
        <f t="shared" si="0"/>
        <v>2027</v>
      </c>
      <c r="J2" s="3">
        <f t="shared" si="0"/>
        <v>2028</v>
      </c>
      <c r="K2" s="3">
        <f t="shared" si="0"/>
        <v>2029</v>
      </c>
      <c r="L2" s="3">
        <f t="shared" si="0"/>
        <v>2030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x14ac:dyDescent="0.35">
      <c r="B3" s="3"/>
      <c r="C3" s="3"/>
      <c r="F3" s="7"/>
      <c r="I3" s="8"/>
    </row>
    <row r="4" spans="1:23" x14ac:dyDescent="0.35">
      <c r="B4" s="1" t="s">
        <v>1</v>
      </c>
      <c r="C4" s="144">
        <f>'Net Revenues'!D75*-1</f>
        <v>-2942403.7560097263</v>
      </c>
      <c r="D4" s="144">
        <f>'Net Revenues'!E75*-1</f>
        <v>-8520044.2970476225</v>
      </c>
      <c r="E4" s="144">
        <f>'Net Revenues'!F75*-1</f>
        <v>-17015554.707232431</v>
      </c>
      <c r="F4" s="145">
        <f>'Net Revenues'!G75*-1</f>
        <v>-31045983.497522932</v>
      </c>
      <c r="G4" s="144">
        <f>'Net Revenues'!H75*-1</f>
        <v>-47644134.557464167</v>
      </c>
      <c r="H4" s="144">
        <f>'Net Revenues'!I75*-1</f>
        <v>-69745428.933563113</v>
      </c>
      <c r="I4" s="146">
        <f>'Net Revenues'!J75*-1</f>
        <v>-100214379.53663333</v>
      </c>
      <c r="J4" s="144">
        <f>'Net Revenues'!K75*-1</f>
        <v>-140808411.70461798</v>
      </c>
      <c r="K4" s="144">
        <f>'Net Revenues'!L75*-1</f>
        <v>-195233654.49226969</v>
      </c>
      <c r="L4" s="144">
        <f>'Net Revenues'!M75*-1</f>
        <v>-266594294.45707488</v>
      </c>
    </row>
    <row r="5" spans="1:23" x14ac:dyDescent="0.35">
      <c r="B5" s="9" t="s">
        <v>2</v>
      </c>
      <c r="C5" s="147">
        <f>'Net Revenues'!D76*-1</f>
        <v>1159047.7557607316</v>
      </c>
      <c r="D5" s="147">
        <f>'Net Revenues'!E76*-1</f>
        <v>3088523.5131634055</v>
      </c>
      <c r="E5" s="147">
        <f>'Net Revenues'!F76*-1</f>
        <v>7006444.4041475402</v>
      </c>
      <c r="F5" s="148">
        <f>'Net Revenues'!G76*-1</f>
        <v>12976107.195599627</v>
      </c>
      <c r="G5" s="147">
        <f>'Net Revenues'!H76*-1</f>
        <v>18830710.23537413</v>
      </c>
      <c r="H5" s="147">
        <f>'Net Revenues'!I76*-1</f>
        <v>26129068.275653563</v>
      </c>
      <c r="I5" s="149">
        <f>'Net Revenues'!J76*-1</f>
        <v>35656660.244942486</v>
      </c>
      <c r="J5" s="147">
        <f>'Net Revenues'!K76*-1</f>
        <v>47063415.00835833</v>
      </c>
      <c r="K5" s="147">
        <f>'Net Revenues'!L76*-1</f>
        <v>62208322.666715011</v>
      </c>
      <c r="L5" s="147">
        <f>'Net Revenues'!M76*-1</f>
        <v>81126908.412738025</v>
      </c>
    </row>
    <row r="6" spans="1:23" x14ac:dyDescent="0.35">
      <c r="A6" s="10"/>
      <c r="B6" s="11" t="s">
        <v>3</v>
      </c>
      <c r="C6" s="144">
        <f>C4+C5</f>
        <v>-1783356.0002489947</v>
      </c>
      <c r="D6" s="144">
        <f>D4+D5</f>
        <v>-5431520.783884217</v>
      </c>
      <c r="E6" s="144">
        <f t="shared" ref="E6:L6" si="1">E4+E5</f>
        <v>-10009110.303084891</v>
      </c>
      <c r="F6" s="145">
        <f t="shared" si="1"/>
        <v>-18069876.301923305</v>
      </c>
      <c r="G6" s="144">
        <f t="shared" si="1"/>
        <v>-28813424.322090037</v>
      </c>
      <c r="H6" s="144">
        <f t="shared" si="1"/>
        <v>-43616360.65790955</v>
      </c>
      <c r="I6" s="146">
        <f t="shared" si="1"/>
        <v>-64557719.291690841</v>
      </c>
      <c r="J6" s="144">
        <f t="shared" si="1"/>
        <v>-93744996.696259648</v>
      </c>
      <c r="K6" s="144">
        <f t="shared" si="1"/>
        <v>-133025331.82555468</v>
      </c>
      <c r="L6" s="144">
        <f t="shared" si="1"/>
        <v>-185467386.04433686</v>
      </c>
    </row>
    <row r="7" spans="1:23" x14ac:dyDescent="0.35">
      <c r="A7" s="10"/>
      <c r="B7" s="11"/>
      <c r="C7" s="144"/>
      <c r="D7" s="144"/>
      <c r="E7" s="144"/>
      <c r="F7" s="145"/>
      <c r="G7" s="144"/>
      <c r="H7" s="144"/>
      <c r="I7" s="146"/>
      <c r="J7" s="144"/>
      <c r="K7" s="144"/>
      <c r="L7" s="144"/>
    </row>
    <row r="8" spans="1:23" x14ac:dyDescent="0.35">
      <c r="A8" s="10"/>
      <c r="B8" s="181" t="s">
        <v>4</v>
      </c>
      <c r="C8" s="150"/>
      <c r="D8" s="144"/>
      <c r="E8" s="144"/>
      <c r="F8" s="199">
        <v>4000000</v>
      </c>
      <c r="G8" s="201">
        <v>10000000</v>
      </c>
      <c r="H8" s="201">
        <v>11000000</v>
      </c>
      <c r="I8" s="200">
        <v>15000000</v>
      </c>
      <c r="J8" s="144">
        <f t="shared" ref="J8:L14" si="2">I8</f>
        <v>15000000</v>
      </c>
      <c r="K8" s="144">
        <f t="shared" si="2"/>
        <v>15000000</v>
      </c>
      <c r="L8" s="144">
        <f t="shared" si="2"/>
        <v>15000000</v>
      </c>
      <c r="N8" s="91" t="s">
        <v>5</v>
      </c>
    </row>
    <row r="9" spans="1:23" x14ac:dyDescent="0.35">
      <c r="A9" s="10"/>
      <c r="B9" s="181" t="s">
        <v>6</v>
      </c>
      <c r="C9" s="150"/>
      <c r="D9" s="144"/>
      <c r="E9" s="144"/>
      <c r="F9" s="199">
        <v>2000000</v>
      </c>
      <c r="G9" s="201">
        <v>15000000</v>
      </c>
      <c r="H9" s="201">
        <v>25000000</v>
      </c>
      <c r="I9" s="200">
        <v>37000000</v>
      </c>
      <c r="J9" s="144">
        <f t="shared" si="2"/>
        <v>37000000</v>
      </c>
      <c r="K9" s="144">
        <f t="shared" si="2"/>
        <v>37000000</v>
      </c>
      <c r="L9" s="144">
        <f t="shared" si="2"/>
        <v>37000000</v>
      </c>
      <c r="N9" s="91" t="s">
        <v>5</v>
      </c>
    </row>
    <row r="10" spans="1:23" x14ac:dyDescent="0.35">
      <c r="A10" s="10"/>
      <c r="B10" s="9" t="s">
        <v>7</v>
      </c>
      <c r="C10" s="150"/>
      <c r="D10" s="144"/>
      <c r="E10" s="144"/>
      <c r="F10" s="148"/>
      <c r="G10" s="147"/>
      <c r="H10" s="147"/>
      <c r="I10" s="149">
        <f>H10</f>
        <v>0</v>
      </c>
      <c r="J10" s="147">
        <f t="shared" si="2"/>
        <v>0</v>
      </c>
      <c r="K10" s="147">
        <f t="shared" si="2"/>
        <v>0</v>
      </c>
      <c r="L10" s="147">
        <f t="shared" si="2"/>
        <v>0</v>
      </c>
      <c r="N10" s="91" t="s">
        <v>5</v>
      </c>
    </row>
    <row r="11" spans="1:23" x14ac:dyDescent="0.35">
      <c r="A11" s="10"/>
      <c r="B11" s="12" t="s">
        <v>8</v>
      </c>
      <c r="C11" s="150"/>
      <c r="D11" s="144"/>
      <c r="E11" s="144"/>
      <c r="F11" s="145">
        <f>SUM(F8:F10)</f>
        <v>6000000</v>
      </c>
      <c r="G11" s="144">
        <f t="shared" ref="G11:L11" si="3">SUM(G8:G10)</f>
        <v>25000000</v>
      </c>
      <c r="H11" s="144">
        <f t="shared" si="3"/>
        <v>36000000</v>
      </c>
      <c r="I11" s="146">
        <f t="shared" si="3"/>
        <v>52000000</v>
      </c>
      <c r="J11" s="144">
        <f t="shared" si="3"/>
        <v>52000000</v>
      </c>
      <c r="K11" s="144">
        <f t="shared" si="3"/>
        <v>52000000</v>
      </c>
      <c r="L11" s="144">
        <f t="shared" si="3"/>
        <v>52000000</v>
      </c>
    </row>
    <row r="12" spans="1:23" x14ac:dyDescent="0.35">
      <c r="A12" s="10"/>
      <c r="B12" s="12"/>
      <c r="C12" s="150"/>
      <c r="D12" s="144"/>
      <c r="E12" s="144"/>
      <c r="F12" s="145"/>
      <c r="G12" s="144"/>
      <c r="H12" s="144"/>
      <c r="I12" s="146"/>
      <c r="J12" s="144"/>
      <c r="K12" s="144"/>
      <c r="L12" s="144"/>
    </row>
    <row r="13" spans="1:23" x14ac:dyDescent="0.35">
      <c r="A13" s="10"/>
      <c r="B13" s="11" t="s">
        <v>9</v>
      </c>
      <c r="C13" s="144">
        <v>2383284.3077351251</v>
      </c>
      <c r="D13" s="144">
        <v>6956748.1503091445</v>
      </c>
      <c r="E13" s="144">
        <v>7744288.3018286061</v>
      </c>
      <c r="F13" s="219"/>
      <c r="G13" s="220"/>
      <c r="H13" s="220"/>
      <c r="I13" s="221"/>
      <c r="J13" s="144">
        <f t="shared" si="2"/>
        <v>0</v>
      </c>
      <c r="K13" s="144">
        <f t="shared" si="2"/>
        <v>0</v>
      </c>
      <c r="L13" s="144">
        <f t="shared" si="2"/>
        <v>0</v>
      </c>
      <c r="N13" s="91" t="s">
        <v>5</v>
      </c>
    </row>
    <row r="14" spans="1:23" x14ac:dyDescent="0.35">
      <c r="A14" s="10"/>
      <c r="B14" s="12" t="s">
        <v>10</v>
      </c>
      <c r="C14" s="144"/>
      <c r="D14" s="144"/>
      <c r="E14" s="144"/>
      <c r="F14" s="219"/>
      <c r="G14" s="220"/>
      <c r="H14" s="220"/>
      <c r="I14" s="221"/>
      <c r="J14" s="144">
        <f t="shared" si="2"/>
        <v>0</v>
      </c>
      <c r="K14" s="144">
        <f t="shared" si="2"/>
        <v>0</v>
      </c>
      <c r="L14" s="144">
        <f t="shared" si="2"/>
        <v>0</v>
      </c>
      <c r="N14" s="91" t="s">
        <v>5</v>
      </c>
    </row>
    <row r="15" spans="1:23" x14ac:dyDescent="0.35">
      <c r="A15" s="10"/>
      <c r="B15" s="9" t="s">
        <v>11</v>
      </c>
      <c r="C15" s="151"/>
      <c r="D15" s="147"/>
      <c r="E15" s="147"/>
      <c r="F15" s="148">
        <f t="shared" ref="F15:L15" si="4">$C27</f>
        <v>0</v>
      </c>
      <c r="G15" s="147">
        <f t="shared" si="4"/>
        <v>0</v>
      </c>
      <c r="H15" s="147">
        <f t="shared" si="4"/>
        <v>0</v>
      </c>
      <c r="I15" s="149">
        <f t="shared" si="4"/>
        <v>0</v>
      </c>
      <c r="J15" s="147">
        <f t="shared" si="4"/>
        <v>0</v>
      </c>
      <c r="K15" s="147">
        <f t="shared" si="4"/>
        <v>0</v>
      </c>
      <c r="L15" s="147">
        <f t="shared" si="4"/>
        <v>0</v>
      </c>
    </row>
    <row r="16" spans="1:23" x14ac:dyDescent="0.35">
      <c r="A16" s="10"/>
      <c r="B16" s="12" t="s">
        <v>12</v>
      </c>
      <c r="C16" s="150">
        <f>SUM(C13:C15)</f>
        <v>2383284.3077351251</v>
      </c>
      <c r="D16" s="150">
        <f t="shared" ref="D16:L16" si="5">SUM(D13:D15)</f>
        <v>6956748.1503091445</v>
      </c>
      <c r="E16" s="150">
        <f t="shared" si="5"/>
        <v>7744288.3018286061</v>
      </c>
      <c r="F16" s="152">
        <f t="shared" si="5"/>
        <v>0</v>
      </c>
      <c r="G16" s="150">
        <f t="shared" si="5"/>
        <v>0</v>
      </c>
      <c r="H16" s="150">
        <f t="shared" si="5"/>
        <v>0</v>
      </c>
      <c r="I16" s="153">
        <f t="shared" si="5"/>
        <v>0</v>
      </c>
      <c r="J16" s="150">
        <f t="shared" si="5"/>
        <v>0</v>
      </c>
      <c r="K16" s="150">
        <f t="shared" si="5"/>
        <v>0</v>
      </c>
      <c r="L16" s="150">
        <f t="shared" si="5"/>
        <v>0</v>
      </c>
    </row>
    <row r="17" spans="1:14" x14ac:dyDescent="0.35">
      <c r="A17" s="10"/>
      <c r="B17" s="11"/>
      <c r="C17" s="150"/>
      <c r="D17" s="147"/>
      <c r="E17" s="147"/>
      <c r="F17" s="203"/>
      <c r="G17" s="204"/>
      <c r="H17" s="204"/>
      <c r="I17" s="205"/>
      <c r="J17" s="147"/>
      <c r="K17" s="147"/>
      <c r="L17" s="147"/>
    </row>
    <row r="18" spans="1:14" x14ac:dyDescent="0.35">
      <c r="A18" s="10"/>
      <c r="B18" s="14" t="s">
        <v>13</v>
      </c>
      <c r="C18" s="154">
        <f>C6+C11+C16</f>
        <v>599928.30748613039</v>
      </c>
      <c r="D18" s="154">
        <f t="shared" ref="D18:L18" si="6">D6+D11+D16</f>
        <v>1525227.3664249275</v>
      </c>
      <c r="E18" s="154">
        <f t="shared" si="6"/>
        <v>-2264822.0012562852</v>
      </c>
      <c r="F18" s="145">
        <f t="shared" si="6"/>
        <v>-12069876.301923305</v>
      </c>
      <c r="G18" s="144">
        <f t="shared" si="6"/>
        <v>-3813424.3220900372</v>
      </c>
      <c r="H18" s="144">
        <f t="shared" si="6"/>
        <v>-7616360.6579095498</v>
      </c>
      <c r="I18" s="146">
        <f t="shared" si="6"/>
        <v>-12557719.291690841</v>
      </c>
      <c r="J18" s="154">
        <f t="shared" si="6"/>
        <v>-41744996.696259648</v>
      </c>
      <c r="K18" s="154">
        <f t="shared" si="6"/>
        <v>-81025331.825554684</v>
      </c>
      <c r="L18" s="154">
        <f t="shared" si="6"/>
        <v>-133467386.04433686</v>
      </c>
    </row>
    <row r="19" spans="1:14" x14ac:dyDescent="0.35">
      <c r="B19" s="12" t="s">
        <v>14</v>
      </c>
      <c r="C19" s="144">
        <f t="shared" ref="C19:L19" si="7">C34</f>
        <v>0</v>
      </c>
      <c r="D19" s="144">
        <f t="shared" si="7"/>
        <v>0</v>
      </c>
      <c r="E19" s="144" t="e">
        <f t="shared" si="7"/>
        <v>#DIV/0!</v>
      </c>
      <c r="F19" s="145">
        <f t="shared" si="7"/>
        <v>3540387106.3316102</v>
      </c>
      <c r="G19" s="144">
        <f t="shared" si="7"/>
        <v>3631010248.1839371</v>
      </c>
      <c r="H19" s="144">
        <f t="shared" si="7"/>
        <v>3923254817.2690964</v>
      </c>
      <c r="I19" s="146">
        <f t="shared" si="7"/>
        <v>4128645975.5546327</v>
      </c>
      <c r="J19" s="144">
        <f t="shared" si="7"/>
        <v>0</v>
      </c>
      <c r="K19" s="144">
        <f t="shared" si="7"/>
        <v>0</v>
      </c>
      <c r="L19" s="144">
        <f t="shared" si="7"/>
        <v>0</v>
      </c>
    </row>
    <row r="20" spans="1:14" x14ac:dyDescent="0.35">
      <c r="B20" s="11" t="s">
        <v>15</v>
      </c>
      <c r="C20" s="74" t="e">
        <f t="shared" ref="C20:L20" si="8">C18/C19</f>
        <v>#DIV/0!</v>
      </c>
      <c r="D20" s="74" t="e">
        <f t="shared" si="8"/>
        <v>#DIV/0!</v>
      </c>
      <c r="E20" s="74" t="e">
        <f t="shared" si="8"/>
        <v>#DIV/0!</v>
      </c>
      <c r="F20" s="142">
        <f t="shared" si="8"/>
        <v>-3.4091967740865398E-3</v>
      </c>
      <c r="G20" s="143">
        <f t="shared" si="8"/>
        <v>-1.0502378295399566E-3</v>
      </c>
      <c r="H20" s="143">
        <f t="shared" si="8"/>
        <v>-1.9413372346818794E-3</v>
      </c>
      <c r="I20" s="202">
        <f t="shared" si="8"/>
        <v>-3.041607191811564E-3</v>
      </c>
      <c r="J20" s="74" t="e">
        <f t="shared" si="8"/>
        <v>#DIV/0!</v>
      </c>
      <c r="K20" s="74" t="e">
        <f t="shared" si="8"/>
        <v>#DIV/0!</v>
      </c>
      <c r="L20" s="74" t="e">
        <f t="shared" si="8"/>
        <v>#DIV/0!</v>
      </c>
    </row>
    <row r="21" spans="1:14" x14ac:dyDescent="0.35">
      <c r="F21" s="206"/>
      <c r="G21" s="207"/>
      <c r="H21" s="207"/>
      <c r="I21" s="208"/>
    </row>
    <row r="22" spans="1:14" x14ac:dyDescent="0.35">
      <c r="F22" s="7"/>
      <c r="I22" s="8"/>
    </row>
    <row r="23" spans="1:14" x14ac:dyDescent="0.35">
      <c r="F23" s="7"/>
      <c r="I23" s="8"/>
    </row>
    <row r="24" spans="1:14" x14ac:dyDescent="0.35">
      <c r="F24" s="7"/>
      <c r="I24" s="8"/>
    </row>
    <row r="25" spans="1:14" x14ac:dyDescent="0.35">
      <c r="B25" s="16" t="s">
        <v>16</v>
      </c>
      <c r="F25" s="7"/>
      <c r="I25" s="8"/>
    </row>
    <row r="26" spans="1:14" x14ac:dyDescent="0.35">
      <c r="F26" s="7"/>
      <c r="I26" s="8"/>
    </row>
    <row r="27" spans="1:14" x14ac:dyDescent="0.35">
      <c r="B27" s="11" t="s">
        <v>17</v>
      </c>
      <c r="C27" s="139">
        <v>0</v>
      </c>
      <c r="F27" s="7"/>
      <c r="I27" s="8"/>
      <c r="N27" s="91" t="s">
        <v>18</v>
      </c>
    </row>
    <row r="28" spans="1:14" x14ac:dyDescent="0.35">
      <c r="F28" s="7"/>
      <c r="I28" s="8"/>
    </row>
    <row r="29" spans="1:14" x14ac:dyDescent="0.35">
      <c r="B29" t="s">
        <v>19</v>
      </c>
      <c r="C29" s="177">
        <v>0.02</v>
      </c>
      <c r="F29" s="7"/>
      <c r="I29" s="8"/>
      <c r="N29" s="91" t="s">
        <v>18</v>
      </c>
    </row>
    <row r="30" spans="1:14" x14ac:dyDescent="0.35">
      <c r="B30" s="2"/>
      <c r="F30" s="7"/>
      <c r="I30" s="8"/>
    </row>
    <row r="31" spans="1:14" x14ac:dyDescent="0.35">
      <c r="B31" s="16" t="s">
        <v>20</v>
      </c>
      <c r="C31" s="17">
        <f t="shared" ref="C31:L31" si="9">C2</f>
        <v>2021</v>
      </c>
      <c r="D31" s="17">
        <f t="shared" si="9"/>
        <v>2022</v>
      </c>
      <c r="E31" s="17">
        <f t="shared" si="9"/>
        <v>2023</v>
      </c>
      <c r="F31" s="209">
        <f t="shared" si="9"/>
        <v>2024</v>
      </c>
      <c r="G31" s="17">
        <f t="shared" si="9"/>
        <v>2025</v>
      </c>
      <c r="H31" s="17">
        <f t="shared" si="9"/>
        <v>2026</v>
      </c>
      <c r="I31" s="210">
        <f t="shared" si="9"/>
        <v>2027</v>
      </c>
      <c r="J31" s="17">
        <f t="shared" si="9"/>
        <v>2028</v>
      </c>
      <c r="K31" s="17">
        <f t="shared" si="9"/>
        <v>2029</v>
      </c>
      <c r="L31" s="17">
        <f t="shared" si="9"/>
        <v>2030</v>
      </c>
    </row>
    <row r="32" spans="1:14" x14ac:dyDescent="0.35">
      <c r="B32" t="s">
        <v>21</v>
      </c>
      <c r="C32" s="18" t="e">
        <f>C34/C33/1000</f>
        <v>#DIV/0!</v>
      </c>
      <c r="D32" s="18" t="e">
        <f>D34/D33/1000</f>
        <v>#DIV/0!</v>
      </c>
      <c r="E32" s="18" t="e">
        <f t="shared" ref="E32:L32" si="10">D32*(1+$C$29)</f>
        <v>#DIV/0!</v>
      </c>
      <c r="F32" s="211">
        <f>F34/F33/1000</f>
        <v>0.12574137440646296</v>
      </c>
      <c r="G32" s="18">
        <f t="shared" si="10"/>
        <v>0.12825620189459222</v>
      </c>
      <c r="H32" s="18">
        <f t="shared" si="10"/>
        <v>0.13082132593248408</v>
      </c>
      <c r="I32" s="212">
        <f t="shared" si="10"/>
        <v>0.13343775245113376</v>
      </c>
      <c r="J32" s="18">
        <f t="shared" si="10"/>
        <v>0.13610650750015643</v>
      </c>
      <c r="K32" s="18">
        <f t="shared" si="10"/>
        <v>0.13882863765015957</v>
      </c>
      <c r="L32" s="18">
        <f t="shared" si="10"/>
        <v>0.14160521040316276</v>
      </c>
    </row>
    <row r="33" spans="2:14" x14ac:dyDescent="0.35">
      <c r="B33" t="s">
        <v>22</v>
      </c>
      <c r="C33" s="140"/>
      <c r="D33" s="140"/>
      <c r="E33" s="140"/>
      <c r="F33" s="213">
        <v>28156103.136642974</v>
      </c>
      <c r="G33" s="214">
        <v>28310601.706170086</v>
      </c>
      <c r="H33" s="214">
        <v>29989413.341475066</v>
      </c>
      <c r="I33" s="215">
        <v>30940613.879618391</v>
      </c>
      <c r="J33" s="140"/>
      <c r="K33" s="140"/>
      <c r="L33" s="140"/>
      <c r="N33" s="91" t="s">
        <v>23</v>
      </c>
    </row>
    <row r="34" spans="2:14" x14ac:dyDescent="0.35">
      <c r="B34" t="s">
        <v>24</v>
      </c>
      <c r="C34" s="141"/>
      <c r="D34" s="13"/>
      <c r="E34" s="13" t="e">
        <f t="shared" ref="E34:L34" si="11">E32*E33*1000</f>
        <v>#DIV/0!</v>
      </c>
      <c r="F34" s="216">
        <v>3540387106.3316102</v>
      </c>
      <c r="G34" s="217">
        <f t="shared" si="11"/>
        <v>3631010248.1839371</v>
      </c>
      <c r="H34" s="217">
        <f t="shared" si="11"/>
        <v>3923254817.2690964</v>
      </c>
      <c r="I34" s="218">
        <f t="shared" si="11"/>
        <v>4128645975.5546327</v>
      </c>
      <c r="J34" s="13">
        <f t="shared" si="11"/>
        <v>0</v>
      </c>
      <c r="K34" s="13">
        <f t="shared" si="11"/>
        <v>0</v>
      </c>
      <c r="L34" s="13">
        <f t="shared" si="11"/>
        <v>0</v>
      </c>
      <c r="N34" s="91" t="s">
        <v>25</v>
      </c>
    </row>
    <row r="44" spans="2:14" x14ac:dyDescent="0.35">
      <c r="B44" s="2" t="s">
        <v>26</v>
      </c>
      <c r="F44" s="17">
        <v>2024</v>
      </c>
      <c r="G44" s="17">
        <v>2025</v>
      </c>
      <c r="H44" s="17">
        <v>2026</v>
      </c>
      <c r="I44" s="17">
        <v>2027</v>
      </c>
      <c r="J44" s="17" t="s">
        <v>27</v>
      </c>
    </row>
    <row r="45" spans="2:14" x14ac:dyDescent="0.35">
      <c r="B45" t="s">
        <v>1</v>
      </c>
      <c r="F45" s="155">
        <f t="shared" ref="F45:I46" si="12">F4</f>
        <v>-31045983.497522932</v>
      </c>
      <c r="G45" s="155">
        <f t="shared" si="12"/>
        <v>-47644134.557464167</v>
      </c>
      <c r="H45" s="155">
        <f t="shared" si="12"/>
        <v>-69745428.933563113</v>
      </c>
      <c r="I45" s="155">
        <f t="shared" si="12"/>
        <v>-100214379.53663333</v>
      </c>
      <c r="J45" s="155">
        <f t="shared" ref="J45:J52" si="13">SUM(F45:I45)</f>
        <v>-248649926.52518356</v>
      </c>
    </row>
    <row r="46" spans="2:14" x14ac:dyDescent="0.35">
      <c r="B46" t="s">
        <v>28</v>
      </c>
      <c r="F46" s="156">
        <f t="shared" si="12"/>
        <v>12976107.195599627</v>
      </c>
      <c r="G46" s="156">
        <f t="shared" si="12"/>
        <v>18830710.23537413</v>
      </c>
      <c r="H46" s="156">
        <f t="shared" si="12"/>
        <v>26129068.275653563</v>
      </c>
      <c r="I46" s="156">
        <f t="shared" si="12"/>
        <v>35656660.244942486</v>
      </c>
      <c r="J46" s="156">
        <f t="shared" si="13"/>
        <v>93592545.951569811</v>
      </c>
    </row>
    <row r="47" spans="2:14" x14ac:dyDescent="0.35">
      <c r="B47" t="s">
        <v>29</v>
      </c>
      <c r="F47" s="155">
        <f>SUM(F45:F46)</f>
        <v>-18069876.301923305</v>
      </c>
      <c r="G47" s="155">
        <f t="shared" ref="G47:H47" si="14">SUM(G45:G46)</f>
        <v>-28813424.322090037</v>
      </c>
      <c r="H47" s="155">
        <f t="shared" si="14"/>
        <v>-43616360.65790955</v>
      </c>
      <c r="I47" s="155">
        <f t="shared" ref="I47" si="15">SUM(I45:I46)</f>
        <v>-64557719.291690841</v>
      </c>
      <c r="J47" s="155">
        <f t="shared" si="13"/>
        <v>-155057380.57361373</v>
      </c>
    </row>
    <row r="48" spans="2:14" x14ac:dyDescent="0.35">
      <c r="B48" s="12" t="s">
        <v>30</v>
      </c>
      <c r="F48" s="157">
        <f>F8+F9+F10</f>
        <v>6000000</v>
      </c>
      <c r="G48" s="157">
        <f>G8+G9+G10</f>
        <v>25000000</v>
      </c>
      <c r="H48" s="157">
        <f>H8+H9+H10</f>
        <v>36000000</v>
      </c>
      <c r="I48" s="157">
        <f>I8+I9+I10</f>
        <v>52000000</v>
      </c>
      <c r="J48" s="155">
        <f t="shared" si="13"/>
        <v>119000000</v>
      </c>
    </row>
    <row r="49" spans="2:10" x14ac:dyDescent="0.35">
      <c r="B49" s="12" t="s">
        <v>31</v>
      </c>
      <c r="F49" s="157">
        <f>F13+F14</f>
        <v>0</v>
      </c>
      <c r="G49" s="157">
        <f>G13+G14</f>
        <v>0</v>
      </c>
      <c r="H49" s="157">
        <f>H13+H14</f>
        <v>0</v>
      </c>
      <c r="I49" s="157">
        <f>I13+I14</f>
        <v>0</v>
      </c>
      <c r="J49" s="157">
        <f t="shared" si="13"/>
        <v>0</v>
      </c>
    </row>
    <row r="50" spans="2:10" x14ac:dyDescent="0.35">
      <c r="B50" t="s">
        <v>32</v>
      </c>
      <c r="F50" s="156">
        <f>F15</f>
        <v>0</v>
      </c>
      <c r="G50" s="156">
        <f>G15</f>
        <v>0</v>
      </c>
      <c r="H50" s="156">
        <f>H15</f>
        <v>0</v>
      </c>
      <c r="I50" s="156">
        <f>I15</f>
        <v>0</v>
      </c>
      <c r="J50" s="156">
        <f t="shared" si="13"/>
        <v>0</v>
      </c>
    </row>
    <row r="51" spans="2:10" x14ac:dyDescent="0.35">
      <c r="B51" t="s">
        <v>33</v>
      </c>
      <c r="F51" s="155">
        <f>SUM(F47:F50)</f>
        <v>-12069876.301923305</v>
      </c>
      <c r="G51" s="155">
        <f t="shared" ref="G51:H51" si="16">SUM(G47:G50)</f>
        <v>-3813424.3220900372</v>
      </c>
      <c r="H51" s="155">
        <f t="shared" si="16"/>
        <v>-7616360.6579095498</v>
      </c>
      <c r="I51" s="155">
        <f t="shared" ref="I51" si="17">SUM(I47:I50)</f>
        <v>-12557719.291690841</v>
      </c>
      <c r="J51" s="155">
        <f t="shared" si="13"/>
        <v>-36057380.573613733</v>
      </c>
    </row>
    <row r="52" spans="2:10" x14ac:dyDescent="0.35">
      <c r="B52" t="s">
        <v>14</v>
      </c>
      <c r="F52" s="157">
        <f>F19</f>
        <v>3540387106.3316102</v>
      </c>
      <c r="G52" s="157">
        <f>G19</f>
        <v>3631010248.1839371</v>
      </c>
      <c r="H52" s="157">
        <f>H19</f>
        <v>3923254817.2690964</v>
      </c>
      <c r="I52" s="157">
        <f>I19</f>
        <v>4128645975.5546327</v>
      </c>
      <c r="J52" s="157">
        <f t="shared" si="13"/>
        <v>15223298147.339275</v>
      </c>
    </row>
    <row r="53" spans="2:10" x14ac:dyDescent="0.35">
      <c r="B53" t="s">
        <v>15</v>
      </c>
      <c r="F53" s="15">
        <f t="shared" ref="F53:H53" si="18">F51/F52</f>
        <v>-3.4091967740865398E-3</v>
      </c>
      <c r="G53" s="15">
        <f t="shared" si="18"/>
        <v>-1.0502378295399566E-3</v>
      </c>
      <c r="H53" s="15">
        <f t="shared" si="18"/>
        <v>-1.9413372346818794E-3</v>
      </c>
      <c r="I53" s="15">
        <f t="shared" ref="I53" si="19">I51/I52</f>
        <v>-3.041607191811564E-3</v>
      </c>
      <c r="J53" s="15">
        <f>J51/J52</f>
        <v>-2.368565617294688E-3</v>
      </c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59626-CDEE-4269-BE1D-BD682F393C7C}">
  <sheetPr>
    <tabColor theme="9" tint="0.79998168889431442"/>
  </sheetPr>
  <dimension ref="B1:N77"/>
  <sheetViews>
    <sheetView zoomScale="80" zoomScaleNormal="80" workbookViewId="0">
      <selection activeCell="F20" sqref="F20:I20"/>
    </sheetView>
  </sheetViews>
  <sheetFormatPr defaultColWidth="9.1796875" defaultRowHeight="14.5" x14ac:dyDescent="0.35"/>
  <cols>
    <col min="2" max="2" width="44.26953125" customWidth="1"/>
    <col min="3" max="3" width="12" customWidth="1"/>
    <col min="4" max="5" width="18" hidden="1" customWidth="1"/>
    <col min="6" max="6" width="17.54296875" hidden="1" customWidth="1"/>
    <col min="7" max="10" width="17.54296875" customWidth="1"/>
    <col min="11" max="13" width="17.54296875" hidden="1" customWidth="1"/>
  </cols>
  <sheetData>
    <row r="1" spans="2:13" x14ac:dyDescent="0.35">
      <c r="D1" s="3">
        <v>2021</v>
      </c>
      <c r="E1" s="3">
        <v>2022</v>
      </c>
      <c r="F1" s="3">
        <v>2023</v>
      </c>
      <c r="G1" s="3">
        <v>2024</v>
      </c>
      <c r="H1" s="3">
        <v>2025</v>
      </c>
      <c r="I1" s="3">
        <v>2026</v>
      </c>
      <c r="J1" s="3">
        <v>2027</v>
      </c>
      <c r="K1" s="3">
        <v>2028</v>
      </c>
      <c r="L1" s="3">
        <v>2029</v>
      </c>
      <c r="M1" s="3">
        <v>2030</v>
      </c>
    </row>
    <row r="3" spans="2:13" x14ac:dyDescent="0.35">
      <c r="B3" s="20" t="s">
        <v>34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2:13" x14ac:dyDescent="0.35">
      <c r="B5" s="2" t="s">
        <v>35</v>
      </c>
    </row>
    <row r="6" spans="2:13" x14ac:dyDescent="0.35">
      <c r="B6" s="22" t="s">
        <v>36</v>
      </c>
      <c r="D6" s="23">
        <f>'Rate Revenues'!D34*1000</f>
        <v>20643201.359211061</v>
      </c>
      <c r="E6" s="23">
        <f>'Rate Revenues'!E34*1000</f>
        <v>52213316.145762168</v>
      </c>
      <c r="F6" s="23">
        <f>'Rate Revenues'!F34*1000</f>
        <v>99803024.893615037</v>
      </c>
      <c r="G6" s="23">
        <f>'Rate Revenues'!G34*1000</f>
        <v>158700933.97826946</v>
      </c>
      <c r="H6" s="23">
        <f>'Rate Revenues'!H34*1000</f>
        <v>221864437.54281539</v>
      </c>
      <c r="I6" s="23">
        <f>'Rate Revenues'!I34*1000</f>
        <v>296425855.60789984</v>
      </c>
      <c r="J6" s="23">
        <f>'Rate Revenues'!J34*1000</f>
        <v>389370002.7099371</v>
      </c>
      <c r="K6" s="23">
        <f>'Rate Revenues'!K34*1000</f>
        <v>500849456.11576378</v>
      </c>
      <c r="L6" s="23">
        <f>'Rate Revenues'!L34*1000</f>
        <v>636512797.11716557</v>
      </c>
      <c r="M6" s="23">
        <f>'Rate Revenues'!M34*1000</f>
        <v>797491999.70535004</v>
      </c>
    </row>
    <row r="7" spans="2:13" x14ac:dyDescent="0.35">
      <c r="B7" s="22" t="s">
        <v>37</v>
      </c>
      <c r="D7" s="23">
        <f>D6/8760/'Cost to Serve'!$U$72</f>
        <v>1915.1538534998353</v>
      </c>
      <c r="E7" s="23">
        <f>E6/8760/'Cost to Serve'!$U$72</f>
        <v>4844.0419623162188</v>
      </c>
      <c r="F7" s="23">
        <f>F6/8760/'Cost to Serve'!$U$72</f>
        <v>9259.1330380382315</v>
      </c>
      <c r="G7" s="23">
        <f>G6/8760/'Cost to Serve'!$U$72</f>
        <v>14723.331908347065</v>
      </c>
      <c r="H7" s="23">
        <f>H6/8760/'Cost to Serve'!$U$72</f>
        <v>20583.267348942594</v>
      </c>
      <c r="I7" s="23">
        <f>I6/8760/'Cost to Serve'!$U$72</f>
        <v>27500.633732429545</v>
      </c>
      <c r="J7" s="23">
        <f>J6/8760/'Cost to Serve'!$U$72</f>
        <v>36123.440746967382</v>
      </c>
      <c r="K7" s="23">
        <f>K6/8760/'Cost to Serve'!$U$72</f>
        <v>46465.843606926886</v>
      </c>
      <c r="L7" s="23">
        <f>L6/8760/'Cost to Serve'!$U$72</f>
        <v>59051.884200943859</v>
      </c>
      <c r="M7" s="23">
        <f>M6/8760/'Cost to Serve'!$U$72</f>
        <v>73986.580365815986</v>
      </c>
    </row>
    <row r="8" spans="2:13" x14ac:dyDescent="0.35">
      <c r="B8" s="22" t="s">
        <v>38</v>
      </c>
      <c r="D8" s="23">
        <f>D6/8760/'Cost to Serve'!$Y$72</f>
        <v>4938.9874313697128</v>
      </c>
      <c r="E8" s="23">
        <f>E6/8760/'Cost to Serve'!$Y$72</f>
        <v>12492.292629746857</v>
      </c>
      <c r="F8" s="23">
        <f>F6/8760/'Cost to Serve'!$Y$72</f>
        <v>23878.364454469567</v>
      </c>
      <c r="G8" s="23">
        <f>G6/8760/'Cost to Serve'!$Y$72</f>
        <v>37969.978814141818</v>
      </c>
      <c r="H8" s="23">
        <f>H6/8760/'Cost to Serve'!$Y$72</f>
        <v>53082.157627791239</v>
      </c>
      <c r="I8" s="23">
        <f>I6/8760/'Cost to Serve'!$Y$72</f>
        <v>70921.343531204271</v>
      </c>
      <c r="J8" s="23">
        <f>J6/8760/'Cost to Serve'!$Y$72</f>
        <v>93158.687747754782</v>
      </c>
      <c r="K8" s="23">
        <f>K6/8760/'Cost to Serve'!$Y$72</f>
        <v>119830.69513878215</v>
      </c>
      <c r="L8" s="23">
        <f>L6/8760/'Cost to Serve'!$Y$72</f>
        <v>152288.8165533937</v>
      </c>
      <c r="M8" s="23">
        <f>M6/8760/'Cost to Serve'!$Y$72</f>
        <v>190803.88233509706</v>
      </c>
    </row>
    <row r="10" spans="2:13" x14ac:dyDescent="0.35">
      <c r="B10" s="2" t="s">
        <v>39</v>
      </c>
    </row>
    <row r="11" spans="2:13" x14ac:dyDescent="0.35">
      <c r="B11" s="22" t="s">
        <v>36</v>
      </c>
      <c r="D11" s="23">
        <f>'Rate Revenues'!D41*1000</f>
        <v>4076669.5466812914</v>
      </c>
      <c r="E11" s="23">
        <f>'Rate Revenues'!E41*1000</f>
        <v>10006632.429582503</v>
      </c>
      <c r="F11" s="23">
        <f>'Rate Revenues'!F41*1000</f>
        <v>18519095.056326136</v>
      </c>
      <c r="G11" s="23">
        <f>'Rate Revenues'!G41*1000</f>
        <v>28437137.89434237</v>
      </c>
      <c r="H11" s="23">
        <f>'Rate Revenues'!H41*1000</f>
        <v>38276332.992767841</v>
      </c>
      <c r="I11" s="23">
        <f>'Rate Revenues'!I41*1000</f>
        <v>49069804.3615565</v>
      </c>
      <c r="J11" s="23">
        <f>'Rate Revenues'!J41*1000</f>
        <v>61604008.104376309</v>
      </c>
      <c r="K11" s="23">
        <f>'Rate Revenues'!K41*1000</f>
        <v>75390274.454146415</v>
      </c>
      <c r="L11" s="23">
        <f>'Rate Revenues'!L41*1000</f>
        <v>90665389.152055442</v>
      </c>
      <c r="M11" s="23">
        <f>'Rate Revenues'!M41*1000</f>
        <v>106809200.43766467</v>
      </c>
    </row>
    <row r="12" spans="2:13" x14ac:dyDescent="0.35">
      <c r="B12" s="22" t="s">
        <v>37</v>
      </c>
      <c r="D12" s="23">
        <f>D11/8760/'Cost to Serve'!$W$72</f>
        <v>397.76947756693971</v>
      </c>
      <c r="E12" s="23">
        <f>E11/8760/'Cost to Serve'!$W$72</f>
        <v>976.36880010539778</v>
      </c>
      <c r="F12" s="23">
        <f>F11/8760/'Cost to Serve'!$W$72</f>
        <v>1806.9482162379529</v>
      </c>
      <c r="G12" s="23">
        <f>G11/8760/'Cost to Serve'!$W$72</f>
        <v>2774.6731380128467</v>
      </c>
      <c r="H12" s="23">
        <f>H11/8760/'Cost to Serve'!$W$72</f>
        <v>3734.7047150549338</v>
      </c>
      <c r="I12" s="23">
        <f>I11/8760/'Cost to Serve'!$W$72</f>
        <v>4787.8470947192018</v>
      </c>
      <c r="J12" s="23">
        <f>J11/8760/'Cost to Serve'!$W$72</f>
        <v>6010.8365024718514</v>
      </c>
      <c r="K12" s="23">
        <f>K11/8760/'Cost to Serve'!$W$72</f>
        <v>7355.9923707003463</v>
      </c>
      <c r="L12" s="23">
        <f>L11/8760/'Cost to Serve'!$W$72</f>
        <v>8846.4183970405593</v>
      </c>
      <c r="M12" s="23">
        <f>M11/8760/'Cost to Serve'!$W$72</f>
        <v>10421.605031003479</v>
      </c>
    </row>
    <row r="13" spans="2:13" x14ac:dyDescent="0.35">
      <c r="B13" s="22" t="s">
        <v>38</v>
      </c>
      <c r="D13" s="23">
        <f>D11/8760/'Cost to Serve'!$AA$72</f>
        <v>1180.4436841848426</v>
      </c>
      <c r="E13" s="23">
        <f>E11/8760/'Cost to Serve'!$AA$72</f>
        <v>2897.5284643995597</v>
      </c>
      <c r="F13" s="23">
        <f>F11/8760/'Cost to Serve'!$AA$72</f>
        <v>5362.4039294171353</v>
      </c>
      <c r="G13" s="23">
        <f>G11/8760/'Cost to Serve'!$AA$72</f>
        <v>8234.2803210520415</v>
      </c>
      <c r="H13" s="23">
        <f>H11/8760/'Cost to Serve'!$AA$72</f>
        <v>11083.325498347305</v>
      </c>
      <c r="I13" s="23">
        <f>I11/8760/'Cost to Serve'!$AA$72</f>
        <v>14208.691673314488</v>
      </c>
      <c r="J13" s="23">
        <f>J11/8760/'Cost to Serve'!$AA$72</f>
        <v>17838.105702357538</v>
      </c>
      <c r="K13" s="23">
        <f>K11/8760/'Cost to Serve'!$AA$72</f>
        <v>21830.067978113813</v>
      </c>
      <c r="L13" s="23">
        <f>L11/8760/'Cost to Serve'!$AA$72</f>
        <v>26253.142368586465</v>
      </c>
      <c r="M13" s="23">
        <f>M11/8760/'Cost to Serve'!$AA$72</f>
        <v>30927.757235588153</v>
      </c>
    </row>
    <row r="15" spans="2:13" x14ac:dyDescent="0.35">
      <c r="B15" s="2" t="s">
        <v>40</v>
      </c>
    </row>
    <row r="16" spans="2:13" x14ac:dyDescent="0.35">
      <c r="B16" s="22" t="s">
        <v>36</v>
      </c>
      <c r="D16" s="23">
        <f>'Rate Revenues'!D45*1000</f>
        <v>1084130.7931214715</v>
      </c>
      <c r="E16" s="23">
        <f>'Rate Revenues'!E45*1000</f>
        <v>4465316.4556912184</v>
      </c>
      <c r="F16" s="23">
        <f>'Rate Revenues'!F45*1000</f>
        <v>11975393.778557375</v>
      </c>
      <c r="G16" s="23">
        <f>'Rate Revenues'!G45*1000</f>
        <v>24761548.203764327</v>
      </c>
      <c r="H16" s="23">
        <f>'Rate Revenues'!H45*1000</f>
        <v>42983682.467820503</v>
      </c>
      <c r="I16" s="23">
        <f>'Rate Revenues'!I45*1000</f>
        <v>69140150.003482267</v>
      </c>
      <c r="J16" s="23">
        <f>'Rate Revenues'!J45*1000</f>
        <v>106952307.04982461</v>
      </c>
      <c r="K16" s="23">
        <f>'Rate Revenues'!K45*1000</f>
        <v>159363348.82700264</v>
      </c>
      <c r="L16" s="23">
        <f>'Rate Revenues'!L45*1000</f>
        <v>231641336.01301</v>
      </c>
      <c r="M16" s="23">
        <f>'Rate Revenues'!M45*1000</f>
        <v>328619037.15849686</v>
      </c>
    </row>
    <row r="17" spans="2:14" x14ac:dyDescent="0.35">
      <c r="B17" s="22" t="s">
        <v>37</v>
      </c>
      <c r="D17" s="23">
        <f>D16/8760/'Cost to Serve'!$V$72</f>
        <v>183.40935801828979</v>
      </c>
      <c r="E17" s="23">
        <f>E16/8760/'Cost to Serve'!$V$72</f>
        <v>755.42621765109175</v>
      </c>
      <c r="F17" s="23">
        <f>F16/8760/'Cost to Serve'!$V$72</f>
        <v>2025.9541550493843</v>
      </c>
      <c r="G17" s="23">
        <f>G16/8760/'Cost to Serve'!$V$72</f>
        <v>4189.0698875135622</v>
      </c>
      <c r="H17" s="23">
        <f>H16/8760/'Cost to Serve'!$V$72</f>
        <v>7271.8251863192463</v>
      </c>
      <c r="I17" s="23">
        <f>I16/8760/'Cost to Serve'!$V$72</f>
        <v>11696.882521817735</v>
      </c>
      <c r="J17" s="23">
        <f>J16/8760/'Cost to Serve'!$V$72</f>
        <v>18093.807591336867</v>
      </c>
      <c r="K17" s="23">
        <f>K16/8760/'Cost to Serve'!$V$72</f>
        <v>26960.519602850534</v>
      </c>
      <c r="L17" s="23">
        <f>L16/8760/'Cost to Serve'!$V$72</f>
        <v>39188.250161514283</v>
      </c>
      <c r="M17" s="23">
        <f>M16/8760/'Cost to Serve'!$V$72</f>
        <v>55594.589712087691</v>
      </c>
    </row>
    <row r="18" spans="2:14" x14ac:dyDescent="0.35">
      <c r="B18" s="22" t="s">
        <v>38</v>
      </c>
      <c r="D18" s="23">
        <f>D16/8760/'Cost to Serve'!$Z$72</f>
        <v>207.09224958049776</v>
      </c>
      <c r="E18" s="23">
        <f>E16/8760/'Cost to Serve'!$Z$72</f>
        <v>852.97127963258367</v>
      </c>
      <c r="F18" s="23">
        <f>F16/8760/'Cost to Serve'!$Z$72</f>
        <v>2287.5572328991775</v>
      </c>
      <c r="G18" s="23">
        <f>G16/8760/'Cost to Serve'!$Z$72</f>
        <v>4729.9871502118003</v>
      </c>
      <c r="H18" s="23">
        <f>H16/8760/'Cost to Serve'!$Z$72</f>
        <v>8210.8058861467744</v>
      </c>
      <c r="I18" s="23">
        <f>I16/8760/'Cost to Serve'!$Z$72</f>
        <v>13207.252567126277</v>
      </c>
      <c r="J18" s="23">
        <f>J16/8760/'Cost to Serve'!$Z$72</f>
        <v>20430.186104206176</v>
      </c>
      <c r="K18" s="23">
        <f>K16/8760/'Cost to Serve'!$Z$72</f>
        <v>30441.819952592879</v>
      </c>
      <c r="L18" s="23">
        <f>L16/8760/'Cost to Serve'!$Z$72</f>
        <v>44248.466767230071</v>
      </c>
      <c r="M18" s="23">
        <f>M16/8760/'Cost to Serve'!$Z$72</f>
        <v>62773.28906430678</v>
      </c>
    </row>
    <row r="20" spans="2:14" x14ac:dyDescent="0.35">
      <c r="B20" s="24" t="s">
        <v>41</v>
      </c>
      <c r="C20" s="2"/>
      <c r="D20" s="25">
        <f>SUM(D6,D11,D16)</f>
        <v>25804001.699013826</v>
      </c>
      <c r="E20" s="25">
        <f>SUM(E6,E11,E16)</f>
        <v>66685265.031035885</v>
      </c>
      <c r="F20" s="25">
        <f t="shared" ref="F20:M20" si="0">SUM(F6,F11,F16)</f>
        <v>130297513.72849855</v>
      </c>
      <c r="G20" s="25">
        <f t="shared" si="0"/>
        <v>211899620.07637614</v>
      </c>
      <c r="H20" s="25">
        <f t="shared" si="0"/>
        <v>303124453.00340372</v>
      </c>
      <c r="I20" s="25">
        <f t="shared" si="0"/>
        <v>414635809.9729386</v>
      </c>
      <c r="J20" s="25">
        <f t="shared" si="0"/>
        <v>557926317.86413801</v>
      </c>
      <c r="K20" s="25">
        <f t="shared" si="0"/>
        <v>735603079.39691281</v>
      </c>
      <c r="L20" s="25">
        <f t="shared" si="0"/>
        <v>958819522.28223109</v>
      </c>
      <c r="M20" s="25">
        <f t="shared" si="0"/>
        <v>1232920237.3015115</v>
      </c>
    </row>
    <row r="21" spans="2:14" x14ac:dyDescent="0.35">
      <c r="B21" s="24"/>
      <c r="D21" s="26"/>
      <c r="E21" s="26"/>
      <c r="F21" s="26"/>
      <c r="G21" s="26"/>
      <c r="H21" s="26"/>
      <c r="I21" s="26"/>
      <c r="J21" s="26"/>
      <c r="K21" s="26"/>
      <c r="L21" s="26"/>
      <c r="M21" s="26"/>
    </row>
    <row r="22" spans="2:14" x14ac:dyDescent="0.35">
      <c r="B22" s="24" t="s">
        <v>42</v>
      </c>
      <c r="C22" s="2"/>
      <c r="D22" s="25">
        <f>SUM(D7,D12,D17)</f>
        <v>2496.3326890850649</v>
      </c>
      <c r="E22" s="25">
        <f>SUM(E7,E12,E17)</f>
        <v>6575.8369800727087</v>
      </c>
      <c r="F22" s="25">
        <f t="shared" ref="F22:M22" si="1">SUM(F7,F12,F17)</f>
        <v>13092.03540932557</v>
      </c>
      <c r="G22" s="25">
        <f>SUM(G7,G12,G17)</f>
        <v>21687.074933873475</v>
      </c>
      <c r="H22" s="25">
        <f t="shared" si="1"/>
        <v>31589.797250316773</v>
      </c>
      <c r="I22" s="25">
        <f t="shared" si="1"/>
        <v>43985.363348966486</v>
      </c>
      <c r="J22" s="25">
        <f t="shared" si="1"/>
        <v>60228.0848407761</v>
      </c>
      <c r="K22" s="25">
        <f t="shared" si="1"/>
        <v>80782.355580477772</v>
      </c>
      <c r="L22" s="25">
        <f t="shared" si="1"/>
        <v>107086.55275949871</v>
      </c>
      <c r="M22" s="25">
        <f t="shared" si="1"/>
        <v>140002.77510890714</v>
      </c>
    </row>
    <row r="24" spans="2:14" x14ac:dyDescent="0.35">
      <c r="B24" s="24" t="s">
        <v>43</v>
      </c>
      <c r="D24" s="25">
        <f>SUM(D8,D13,D18)</f>
        <v>6326.5233651350536</v>
      </c>
      <c r="E24" s="25">
        <f>SUM(E8,E13,E18)</f>
        <v>16242.792373779001</v>
      </c>
      <c r="F24" s="25">
        <f t="shared" ref="F24:M24" si="2">SUM(F8,F13,F18)</f>
        <v>31528.325616785878</v>
      </c>
      <c r="G24" s="25">
        <f t="shared" si="2"/>
        <v>50934.246285405665</v>
      </c>
      <c r="H24" s="25">
        <f t="shared" si="2"/>
        <v>72376.289012285313</v>
      </c>
      <c r="I24" s="25">
        <f t="shared" si="2"/>
        <v>98337.287771645031</v>
      </c>
      <c r="J24" s="25">
        <f t="shared" si="2"/>
        <v>131426.9795543185</v>
      </c>
      <c r="K24" s="25">
        <f t="shared" si="2"/>
        <v>172102.58306948881</v>
      </c>
      <c r="L24" s="25">
        <f t="shared" si="2"/>
        <v>222790.42568921024</v>
      </c>
      <c r="M24" s="25">
        <f t="shared" si="2"/>
        <v>284504.92863499199</v>
      </c>
    </row>
    <row r="27" spans="2:14" x14ac:dyDescent="0.35">
      <c r="B27" s="20" t="s">
        <v>44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</row>
    <row r="28" spans="2:14" x14ac:dyDescent="0.35">
      <c r="E28" s="27"/>
      <c r="F28" s="27"/>
      <c r="G28" s="27"/>
    </row>
    <row r="29" spans="2:14" x14ac:dyDescent="0.35">
      <c r="B29" t="s">
        <v>45</v>
      </c>
      <c r="C29" s="28"/>
      <c r="D29" s="194">
        <v>6.85</v>
      </c>
      <c r="E29" s="194">
        <v>6.96</v>
      </c>
      <c r="F29" s="194">
        <v>7.08</v>
      </c>
      <c r="G29" s="197">
        <v>11.84</v>
      </c>
      <c r="H29" s="27">
        <f t="shared" ref="H29" si="3">G29*1.02</f>
        <v>12.0768</v>
      </c>
      <c r="I29" s="27">
        <f t="shared" ref="I29" si="4">H29*1.02</f>
        <v>12.318336</v>
      </c>
      <c r="J29" s="27">
        <f t="shared" ref="J29" si="5">I29*1.02</f>
        <v>12.564702720000001</v>
      </c>
      <c r="K29" s="27">
        <f t="shared" ref="K29" si="6">J29*1.02</f>
        <v>12.815996774400002</v>
      </c>
      <c r="L29" s="27">
        <f t="shared" ref="L29" si="7">K29*1.02</f>
        <v>13.072316709888002</v>
      </c>
      <c r="M29" s="27">
        <f t="shared" ref="M29" si="8">L29*1.02</f>
        <v>13.333763044085762</v>
      </c>
      <c r="N29" t="s">
        <v>46</v>
      </c>
    </row>
    <row r="30" spans="2:14" x14ac:dyDescent="0.35">
      <c r="B30" t="s">
        <v>47</v>
      </c>
      <c r="C30" s="28"/>
      <c r="D30" s="29">
        <f>D$22*D29*12</f>
        <v>205198.54704279234</v>
      </c>
      <c r="E30" s="29">
        <f>E$22*E29*12</f>
        <v>549213.90457567258</v>
      </c>
      <c r="F30" s="29">
        <f t="shared" ref="F30:M30" si="9">F$22*F29*12</f>
        <v>1112299.3283763004</v>
      </c>
      <c r="G30" s="29">
        <f>G$22*G29*12</f>
        <v>3081299.6066047433</v>
      </c>
      <c r="H30" s="29">
        <f t="shared" si="9"/>
        <v>4578043.961191508</v>
      </c>
      <c r="I30" s="29">
        <f t="shared" si="9"/>
        <v>6501917.817775853</v>
      </c>
      <c r="J30" s="29">
        <f t="shared" si="9"/>
        <v>9080975.7770314831</v>
      </c>
      <c r="K30" s="29">
        <f t="shared" si="9"/>
        <v>12423676.902574046</v>
      </c>
      <c r="L30" s="29">
        <f t="shared" si="9"/>
        <v>16798431.996507578</v>
      </c>
      <c r="M30" s="29">
        <f t="shared" si="9"/>
        <v>22401165.94579915</v>
      </c>
    </row>
    <row r="31" spans="2:14" x14ac:dyDescent="0.35">
      <c r="E31" s="30"/>
      <c r="F31" s="30"/>
    </row>
    <row r="32" spans="2:14" x14ac:dyDescent="0.35">
      <c r="B32" t="s">
        <v>48</v>
      </c>
      <c r="D32" s="195">
        <f>E32/1.02</f>
        <v>3.4313725490196076</v>
      </c>
      <c r="E32" s="194">
        <v>3.5</v>
      </c>
      <c r="F32" s="195">
        <f>E32*1.02</f>
        <v>3.5700000000000003</v>
      </c>
      <c r="G32" s="196">
        <v>3.45</v>
      </c>
      <c r="H32" s="27">
        <f t="shared" ref="H32:M32" si="10">G32*1.02</f>
        <v>3.5190000000000001</v>
      </c>
      <c r="I32" s="27">
        <f t="shared" si="10"/>
        <v>3.5893800000000002</v>
      </c>
      <c r="J32" s="27">
        <f t="shared" si="10"/>
        <v>3.6611676000000002</v>
      </c>
      <c r="K32" s="27">
        <f t="shared" si="10"/>
        <v>3.734390952</v>
      </c>
      <c r="L32" s="27">
        <f t="shared" si="10"/>
        <v>3.8090787710400003</v>
      </c>
      <c r="M32" s="27">
        <f t="shared" si="10"/>
        <v>3.8852603464608002</v>
      </c>
      <c r="N32" t="s">
        <v>49</v>
      </c>
    </row>
    <row r="33" spans="2:13" x14ac:dyDescent="0.35">
      <c r="B33" t="s">
        <v>50</v>
      </c>
      <c r="D33" s="31">
        <f>D$24*D32*12</f>
        <v>260503.90327026689</v>
      </c>
      <c r="E33" s="31">
        <f>E$24*E32*12</f>
        <v>682197.27969871811</v>
      </c>
      <c r="F33" s="31">
        <f>F$24*F32*12</f>
        <v>1350673.4694231071</v>
      </c>
      <c r="G33" s="31">
        <f t="shared" ref="G33:M33" si="11">G$24*G32*12</f>
        <v>2108677.7962157945</v>
      </c>
      <c r="H33" s="31">
        <f t="shared" si="11"/>
        <v>3056305.9324107845</v>
      </c>
      <c r="I33" s="31">
        <f t="shared" si="11"/>
        <v>4235638.7277814467</v>
      </c>
      <c r="J33" s="31">
        <f t="shared" si="11"/>
        <v>5774114.3917216007</v>
      </c>
      <c r="K33" s="31">
        <f t="shared" si="11"/>
        <v>7712379.9483663291</v>
      </c>
      <c r="L33" s="31">
        <f t="shared" si="11"/>
        <v>10183515.370604824</v>
      </c>
      <c r="M33" s="31">
        <f t="shared" si="11"/>
        <v>13264508.611178331</v>
      </c>
    </row>
    <row r="35" spans="2:13" x14ac:dyDescent="0.35">
      <c r="B35" t="s">
        <v>51</v>
      </c>
      <c r="D35" s="32"/>
    </row>
    <row r="36" spans="2:13" x14ac:dyDescent="0.35">
      <c r="B36" s="22" t="s">
        <v>52</v>
      </c>
      <c r="D36" s="18">
        <f>E36*(0.03425/0.03533)</f>
        <v>2.6033165906885203E-2</v>
      </c>
      <c r="E36" s="18">
        <f>'Cost to Serve'!C122</f>
        <v>2.6854065736941726E-2</v>
      </c>
      <c r="F36" s="18">
        <f>'Cost to Serve'!C35</f>
        <v>3.3652442729418516E-2</v>
      </c>
      <c r="G36" s="18">
        <f>F36</f>
        <v>3.3652442729418516E-2</v>
      </c>
      <c r="H36" s="18">
        <f t="shared" ref="H36:M36" si="12">G36</f>
        <v>3.3652442729418516E-2</v>
      </c>
      <c r="I36" s="18">
        <f t="shared" si="12"/>
        <v>3.3652442729418516E-2</v>
      </c>
      <c r="J36" s="18">
        <f t="shared" si="12"/>
        <v>3.3652442729418516E-2</v>
      </c>
      <c r="K36" s="18">
        <f t="shared" si="12"/>
        <v>3.3652442729418516E-2</v>
      </c>
      <c r="L36" s="18">
        <f t="shared" si="12"/>
        <v>3.3652442729418516E-2</v>
      </c>
      <c r="M36" s="18">
        <f t="shared" si="12"/>
        <v>3.3652442729418516E-2</v>
      </c>
    </row>
    <row r="37" spans="2:13" x14ac:dyDescent="0.35">
      <c r="B37" s="22" t="s">
        <v>53</v>
      </c>
      <c r="D37" s="18">
        <f t="shared" ref="D37:D38" si="13">E37*(0.03425/0.03533)</f>
        <v>2.9658020204376551E-2</v>
      </c>
      <c r="E37" s="18">
        <f>'Cost to Serve'!E122</f>
        <v>3.0593222009361268E-2</v>
      </c>
      <c r="F37" s="18">
        <f>'Cost to Serve'!E35</f>
        <v>3.8315198408517673E-2</v>
      </c>
      <c r="G37" s="18">
        <f t="shared" ref="G37:M38" si="14">F37</f>
        <v>3.8315198408517673E-2</v>
      </c>
      <c r="H37" s="18">
        <f t="shared" si="14"/>
        <v>3.8315198408517673E-2</v>
      </c>
      <c r="I37" s="18">
        <f t="shared" si="14"/>
        <v>3.8315198408517673E-2</v>
      </c>
      <c r="J37" s="18">
        <f t="shared" si="14"/>
        <v>3.8315198408517673E-2</v>
      </c>
      <c r="K37" s="18">
        <f t="shared" si="14"/>
        <v>3.8315198408517673E-2</v>
      </c>
      <c r="L37" s="18">
        <f t="shared" si="14"/>
        <v>3.8315198408517673E-2</v>
      </c>
      <c r="M37" s="18">
        <f t="shared" si="14"/>
        <v>3.8315198408517673E-2</v>
      </c>
    </row>
    <row r="38" spans="2:13" x14ac:dyDescent="0.35">
      <c r="B38" s="22" t="s">
        <v>54</v>
      </c>
      <c r="D38" s="18">
        <f t="shared" si="13"/>
        <v>3.2312957121334439E-2</v>
      </c>
      <c r="E38" s="18">
        <f>'Cost to Serve'!D122</f>
        <v>3.3331876645160456E-2</v>
      </c>
      <c r="F38" s="18">
        <f>'Cost to Serve'!D35</f>
        <v>3.9689152127483869E-2</v>
      </c>
      <c r="G38" s="18">
        <f t="shared" si="14"/>
        <v>3.9689152127483869E-2</v>
      </c>
      <c r="H38" s="18">
        <f t="shared" si="14"/>
        <v>3.9689152127483869E-2</v>
      </c>
      <c r="I38" s="18">
        <f t="shared" si="14"/>
        <v>3.9689152127483869E-2</v>
      </c>
      <c r="J38" s="18">
        <f t="shared" si="14"/>
        <v>3.9689152127483869E-2</v>
      </c>
      <c r="K38" s="18">
        <f t="shared" si="14"/>
        <v>3.9689152127483869E-2</v>
      </c>
      <c r="L38" s="18">
        <f t="shared" si="14"/>
        <v>3.9689152127483869E-2</v>
      </c>
      <c r="M38" s="18">
        <f t="shared" si="14"/>
        <v>3.9689152127483869E-2</v>
      </c>
    </row>
    <row r="39" spans="2:13" x14ac:dyDescent="0.35">
      <c r="B39" t="s">
        <v>55</v>
      </c>
      <c r="E39" s="18"/>
      <c r="F39" s="18"/>
      <c r="G39" s="18"/>
      <c r="H39" s="18"/>
      <c r="I39" s="18"/>
      <c r="J39" s="18"/>
      <c r="K39" s="18"/>
      <c r="L39" s="18"/>
      <c r="M39" s="18"/>
    </row>
    <row r="40" spans="2:13" x14ac:dyDescent="0.35">
      <c r="B40" s="22" t="s">
        <v>52</v>
      </c>
      <c r="C40" s="33"/>
      <c r="D40" s="29">
        <f>D6*D36</f>
        <v>537407.8858335797</v>
      </c>
      <c r="E40" s="29">
        <f>E6*E36</f>
        <v>1402139.8241220182</v>
      </c>
      <c r="F40" s="29">
        <f t="shared" ref="F40:M40" si="15">F6*F36</f>
        <v>3358615.5794551107</v>
      </c>
      <c r="G40" s="29">
        <f t="shared" si="15"/>
        <v>5340674.0918089421</v>
      </c>
      <c r="H40" s="29">
        <f t="shared" si="15"/>
        <v>7466280.2781042466</v>
      </c>
      <c r="I40" s="29">
        <f t="shared" si="15"/>
        <v>9975454.1293637324</v>
      </c>
      <c r="J40" s="29">
        <f t="shared" si="15"/>
        <v>13103251.71674969</v>
      </c>
      <c r="K40" s="29">
        <f t="shared" si="15"/>
        <v>16854807.637996152</v>
      </c>
      <c r="L40" s="29">
        <f t="shared" si="15"/>
        <v>21420210.451527402</v>
      </c>
      <c r="M40" s="29">
        <f t="shared" si="15"/>
        <v>26837553.84725374</v>
      </c>
    </row>
    <row r="41" spans="2:13" x14ac:dyDescent="0.35">
      <c r="B41" s="22" t="s">
        <v>53</v>
      </c>
      <c r="C41" s="33"/>
      <c r="D41" s="29">
        <f>D11*D37</f>
        <v>120905.94778204034</v>
      </c>
      <c r="E41" s="29">
        <f>E11*E37</f>
        <v>306135.12748429162</v>
      </c>
      <c r="F41" s="29">
        <f t="shared" ref="F41:M41" si="16">F11*F37</f>
        <v>709562.80142933468</v>
      </c>
      <c r="G41" s="29">
        <f t="shared" si="16"/>
        <v>1089574.5805921045</v>
      </c>
      <c r="H41" s="29">
        <f t="shared" si="16"/>
        <v>1466565.2929683907</v>
      </c>
      <c r="I41" s="29">
        <f t="shared" si="16"/>
        <v>1880119.2899801831</v>
      </c>
      <c r="J41" s="29">
        <f t="shared" si="16"/>
        <v>2360369.7932791091</v>
      </c>
      <c r="K41" s="29">
        <f t="shared" si="16"/>
        <v>2888593.3237832212</v>
      </c>
      <c r="L41" s="29">
        <f t="shared" si="16"/>
        <v>3473862.3741464703</v>
      </c>
      <c r="M41" s="29">
        <f t="shared" si="16"/>
        <v>4092415.7066242546</v>
      </c>
    </row>
    <row r="42" spans="2:13" x14ac:dyDescent="0.35">
      <c r="B42" s="22" t="s">
        <v>54</v>
      </c>
      <c r="C42" s="33"/>
      <c r="D42" s="29">
        <f>D16*D38</f>
        <v>35031.471832052404</v>
      </c>
      <c r="E42" s="29">
        <f>E16*E38</f>
        <v>148837.37728270478</v>
      </c>
      <c r="F42" s="29">
        <f t="shared" ref="F42:M42" si="17">F16*F38</f>
        <v>475293.22546368756</v>
      </c>
      <c r="G42" s="29">
        <f t="shared" si="17"/>
        <v>982764.85357122729</v>
      </c>
      <c r="H42" s="29">
        <f t="shared" si="17"/>
        <v>1705985.9124647891</v>
      </c>
      <c r="I42" s="29">
        <f t="shared" si="17"/>
        <v>2744113.9316052622</v>
      </c>
      <c r="J42" s="29">
        <f t="shared" si="17"/>
        <v>4244846.3848858541</v>
      </c>
      <c r="K42" s="29">
        <f t="shared" si="17"/>
        <v>6324996.1951401858</v>
      </c>
      <c r="L42" s="29">
        <f t="shared" si="17"/>
        <v>9193648.2240339611</v>
      </c>
      <c r="M42" s="29">
        <f t="shared" si="17"/>
        <v>13042610.957770856</v>
      </c>
    </row>
    <row r="43" spans="2:13" x14ac:dyDescent="0.35">
      <c r="B43" s="22" t="s">
        <v>56</v>
      </c>
      <c r="C43" s="33"/>
      <c r="D43" s="34">
        <f>SUM(D40:D42)</f>
        <v>693345.30544767249</v>
      </c>
      <c r="E43" s="34">
        <f>SUM(E40:E42)</f>
        <v>1857112.3288890144</v>
      </c>
      <c r="F43" s="34">
        <f t="shared" ref="F43:M43" si="18">SUM(F40:F42)</f>
        <v>4543471.6063481327</v>
      </c>
      <c r="G43" s="34">
        <f t="shared" si="18"/>
        <v>7413013.5259722732</v>
      </c>
      <c r="H43" s="34">
        <f t="shared" si="18"/>
        <v>10638831.483537428</v>
      </c>
      <c r="I43" s="34">
        <f t="shared" si="18"/>
        <v>14599687.350949178</v>
      </c>
      <c r="J43" s="34">
        <f t="shared" si="18"/>
        <v>19708467.894914653</v>
      </c>
      <c r="K43" s="34">
        <f t="shared" si="18"/>
        <v>26068397.156919561</v>
      </c>
      <c r="L43" s="34">
        <f t="shared" si="18"/>
        <v>34087721.04970783</v>
      </c>
      <c r="M43" s="34">
        <f t="shared" si="18"/>
        <v>43972580.511648849</v>
      </c>
    </row>
    <row r="45" spans="2:13" x14ac:dyDescent="0.35">
      <c r="B45" s="22" t="s">
        <v>57</v>
      </c>
      <c r="G45" s="197">
        <v>10.178425469801352</v>
      </c>
      <c r="H45" s="196">
        <v>10.424536668785958</v>
      </c>
      <c r="I45" s="27">
        <f>H45*(1+'Retail Rate Impact'!C29)</f>
        <v>10.633027402161677</v>
      </c>
      <c r="J45" s="27">
        <f>I45*(1+'Retail Rate Impact'!D29)</f>
        <v>10.633027402161677</v>
      </c>
      <c r="K45">
        <f>J45*(1+'Retail Rate Impact'!E29)</f>
        <v>10.633027402161677</v>
      </c>
      <c r="L45">
        <f>K45*(1+'Retail Rate Impact'!F29)</f>
        <v>10.633027402161677</v>
      </c>
      <c r="M45">
        <f>L45*(1+'Retail Rate Impact'!G29)</f>
        <v>10.633027402161677</v>
      </c>
    </row>
    <row r="46" spans="2:13" x14ac:dyDescent="0.35">
      <c r="B46" s="22" t="s">
        <v>58</v>
      </c>
      <c r="G46" s="31">
        <f>G45*G22</f>
        <v>220740.27587242826</v>
      </c>
      <c r="H46" s="31">
        <f t="shared" ref="H46:J46" si="19">H45*H22</f>
        <v>329308.99979544105</v>
      </c>
      <c r="I46" s="31">
        <f t="shared" si="19"/>
        <v>467697.57378359855</v>
      </c>
      <c r="J46" s="31">
        <f t="shared" si="19"/>
        <v>640406.87649169052</v>
      </c>
      <c r="K46" s="46">
        <f t="shared" ref="K46" si="20">K45*K22</f>
        <v>858961.00049838843</v>
      </c>
      <c r="L46" s="46">
        <f t="shared" ref="L46" si="21">L45*L22</f>
        <v>1138654.249894782</v>
      </c>
      <c r="M46" s="46">
        <f t="shared" ref="M46" si="22">M45*M22</f>
        <v>1488653.3441116884</v>
      </c>
    </row>
    <row r="47" spans="2:13" x14ac:dyDescent="0.35">
      <c r="B47" s="22"/>
      <c r="H47" s="46"/>
      <c r="I47" s="46"/>
      <c r="J47" s="46"/>
      <c r="K47" s="46"/>
      <c r="L47" s="46"/>
      <c r="M47" s="46"/>
    </row>
    <row r="48" spans="2:13" x14ac:dyDescent="0.35">
      <c r="B48" s="22" t="s">
        <v>59</v>
      </c>
      <c r="G48" s="197">
        <v>6.73</v>
      </c>
      <c r="H48" s="196">
        <v>6.92</v>
      </c>
      <c r="I48" s="27">
        <f>H48*(1+'Retail Rate Impact'!$C$29)</f>
        <v>7.0583999999999998</v>
      </c>
      <c r="J48" s="27">
        <f>I48*(1+'Retail Rate Impact'!$C$29)</f>
        <v>7.1995680000000002</v>
      </c>
      <c r="K48" s="46"/>
      <c r="L48" s="46"/>
      <c r="M48" s="46"/>
    </row>
    <row r="49" spans="2:13" x14ac:dyDescent="0.35">
      <c r="B49" s="22" t="s">
        <v>60</v>
      </c>
      <c r="G49" s="31">
        <f>G22*G48*12*8.7%</f>
        <v>152375.99093438708</v>
      </c>
      <c r="H49" s="31">
        <f t="shared" ref="H49:J49" si="23">H22*H48*12*8.7%</f>
        <v>228219.85843896848</v>
      </c>
      <c r="I49" s="31">
        <f t="shared" si="23"/>
        <v>324126.80536348821</v>
      </c>
      <c r="J49" s="31">
        <f t="shared" si="23"/>
        <v>452695.30478305783</v>
      </c>
      <c r="K49" s="46"/>
      <c r="L49" s="46"/>
      <c r="M49" s="46"/>
    </row>
    <row r="51" spans="2:13" x14ac:dyDescent="0.35">
      <c r="B51" s="24" t="s">
        <v>61</v>
      </c>
      <c r="C51" s="2"/>
      <c r="D51" s="35">
        <f t="shared" ref="D51:F51" si="24">SUM(D30,D33,D43,D46)</f>
        <v>1159047.7557607316</v>
      </c>
      <c r="E51" s="35">
        <f t="shared" si="24"/>
        <v>3088523.5131634055</v>
      </c>
      <c r="F51" s="35">
        <f t="shared" si="24"/>
        <v>7006444.4041475402</v>
      </c>
      <c r="G51" s="35">
        <f>SUM(G30,G33,G43,G46,G49)</f>
        <v>12976107.195599627</v>
      </c>
      <c r="H51" s="35">
        <f t="shared" ref="H51:J51" si="25">SUM(H30,H33,H43,H46,H49)</f>
        <v>18830710.23537413</v>
      </c>
      <c r="I51" s="35">
        <f t="shared" si="25"/>
        <v>26129068.275653563</v>
      </c>
      <c r="J51" s="35">
        <f t="shared" si="25"/>
        <v>35656660.244942486</v>
      </c>
      <c r="K51" s="35">
        <f t="shared" ref="K51:M51" si="26">SUM(K30,K33,K43,K46)</f>
        <v>47063415.00835833</v>
      </c>
      <c r="L51" s="35">
        <f t="shared" si="26"/>
        <v>62208322.666715011</v>
      </c>
      <c r="M51" s="35">
        <f t="shared" si="26"/>
        <v>81126908.412738025</v>
      </c>
    </row>
    <row r="54" spans="2:13" x14ac:dyDescent="0.35">
      <c r="B54" s="20" t="s">
        <v>62</v>
      </c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</row>
    <row r="56" spans="2:13" x14ac:dyDescent="0.35">
      <c r="B56" s="2" t="s">
        <v>63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2:13" x14ac:dyDescent="0.35">
      <c r="B57" s="22" t="s">
        <v>64</v>
      </c>
      <c r="D57" s="13">
        <f>SUM('Rate Revenues'!D111:D116)</f>
        <v>119211.33908680319</v>
      </c>
      <c r="E57" s="13">
        <f>SUM('Rate Revenues'!E111:E116)</f>
        <v>1349555.4892675444</v>
      </c>
      <c r="F57" s="13">
        <f>SUM('Rate Revenues'!F111:F116)</f>
        <v>7289036.1184245069</v>
      </c>
      <c r="G57" s="13">
        <f>SUM('Rate Revenues'!G111:G116)</f>
        <v>17480937.637024272</v>
      </c>
      <c r="H57" s="13">
        <f>SUM('Rate Revenues'!H111:H116)</f>
        <v>24927177.586946599</v>
      </c>
      <c r="I57" s="13">
        <f>SUM('Rate Revenues'!I111:I116)</f>
        <v>33970478.669111922</v>
      </c>
      <c r="J57" s="13">
        <f>SUM('Rate Revenues'!J111:J116)</f>
        <v>45514339.669226252</v>
      </c>
      <c r="K57" s="13">
        <f>SUM('Rate Revenues'!K111:K116)</f>
        <v>59716333.442095175</v>
      </c>
      <c r="L57" s="13">
        <f>SUM('Rate Revenues'!L111:L116)</f>
        <v>77409317.646347463</v>
      </c>
      <c r="M57" s="13">
        <f>SUM('Rate Revenues'!M111:M116)</f>
        <v>98926491.409620062</v>
      </c>
    </row>
    <row r="58" spans="2:13" x14ac:dyDescent="0.35">
      <c r="B58" s="22"/>
      <c r="D58" s="13">
        <f>SUM('Rate Revenues'!D119:D120)</f>
        <v>2308571.4371515503</v>
      </c>
      <c r="E58" s="13">
        <f>SUM('Rate Revenues'!E119:E120)</f>
        <v>5750474.9081783723</v>
      </c>
      <c r="F58" s="13">
        <f>SUM('Rate Revenues'!F119:F120)</f>
        <v>6521295.9849236384</v>
      </c>
      <c r="G58" s="13">
        <f>SUM('Rate Revenues'!G119:G120)</f>
        <v>0</v>
      </c>
      <c r="H58" s="13">
        <f>SUM('Rate Revenues'!H119:H120)</f>
        <v>0</v>
      </c>
      <c r="I58" s="13">
        <f>SUM('Rate Revenues'!I119:I120)</f>
        <v>0</v>
      </c>
      <c r="J58" s="13">
        <f>SUM('Rate Revenues'!J119:J120)</f>
        <v>0</v>
      </c>
      <c r="K58" s="13">
        <f>SUM('Rate Revenues'!K119:K120)</f>
        <v>0</v>
      </c>
      <c r="L58" s="13">
        <f>SUM('Rate Revenues'!L119:L120)</f>
        <v>0</v>
      </c>
      <c r="M58" s="13">
        <f>SUM('Rate Revenues'!M119:M120)</f>
        <v>0</v>
      </c>
    </row>
    <row r="59" spans="2:13" s="2" customFormat="1" x14ac:dyDescent="0.35">
      <c r="B59" s="24" t="s">
        <v>65</v>
      </c>
      <c r="D59" s="36">
        <f>SUM(D57:D58)</f>
        <v>2427782.7762383535</v>
      </c>
      <c r="E59" s="36">
        <f>SUM(E57:E58)</f>
        <v>7100030.3974459171</v>
      </c>
      <c r="F59" s="36">
        <f t="shared" ref="F59:M59" si="27">SUM(F57:F58)</f>
        <v>13810332.103348145</v>
      </c>
      <c r="G59" s="36">
        <f t="shared" si="27"/>
        <v>17480937.637024272</v>
      </c>
      <c r="H59" s="36">
        <f t="shared" si="27"/>
        <v>24927177.586946599</v>
      </c>
      <c r="I59" s="36">
        <f t="shared" si="27"/>
        <v>33970478.669111922</v>
      </c>
      <c r="J59" s="36">
        <f t="shared" si="27"/>
        <v>45514339.669226252</v>
      </c>
      <c r="K59" s="36">
        <f t="shared" si="27"/>
        <v>59716333.442095175</v>
      </c>
      <c r="L59" s="36">
        <f t="shared" si="27"/>
        <v>77409317.646347463</v>
      </c>
      <c r="M59" s="36">
        <f t="shared" si="27"/>
        <v>98926491.409620062</v>
      </c>
    </row>
    <row r="60" spans="2:13" x14ac:dyDescent="0.35">
      <c r="D60" s="13"/>
      <c r="E60" s="13"/>
      <c r="F60" s="13"/>
      <c r="G60" s="13"/>
      <c r="H60" s="13"/>
      <c r="I60" s="13"/>
      <c r="J60" s="13"/>
      <c r="K60" s="13"/>
      <c r="L60" s="13"/>
      <c r="M60" s="13"/>
    </row>
    <row r="61" spans="2:13" x14ac:dyDescent="0.35">
      <c r="B61" s="2" t="s">
        <v>66</v>
      </c>
      <c r="C61" s="2"/>
      <c r="D61" s="37"/>
      <c r="E61" s="37"/>
      <c r="F61" s="37"/>
      <c r="G61" s="37"/>
      <c r="H61" s="37"/>
      <c r="I61" s="37"/>
      <c r="J61" s="37"/>
      <c r="K61" s="37"/>
      <c r="L61" s="37"/>
      <c r="M61" s="37"/>
    </row>
    <row r="62" spans="2:13" x14ac:dyDescent="0.35">
      <c r="B62" s="22"/>
      <c r="D62" s="13">
        <f>SUM('Rate Revenues'!D127:D132)</f>
        <v>0</v>
      </c>
      <c r="E62" s="13">
        <f>SUM('Rate Revenues'!E127:E132)</f>
        <v>0</v>
      </c>
      <c r="F62" s="13">
        <f>SUM('Rate Revenues'!F127:F132)</f>
        <v>0</v>
      </c>
      <c r="G62" s="13">
        <f>SUM('Rate Revenues'!G127:G132)</f>
        <v>0</v>
      </c>
      <c r="H62" s="13">
        <f>SUM('Rate Revenues'!H127:H132)</f>
        <v>0</v>
      </c>
      <c r="I62" s="13">
        <f>SUM('Rate Revenues'!I127:I132)</f>
        <v>0</v>
      </c>
      <c r="J62" s="13">
        <f>SUM('Rate Revenues'!J127:J132)</f>
        <v>0</v>
      </c>
      <c r="K62" s="13">
        <f>SUM('Rate Revenues'!K127:K132)</f>
        <v>0</v>
      </c>
      <c r="L62" s="13">
        <f>SUM('Rate Revenues'!L127:L132)</f>
        <v>0</v>
      </c>
      <c r="M62" s="13">
        <f>SUM('Rate Revenues'!M127:M132)</f>
        <v>0</v>
      </c>
    </row>
    <row r="63" spans="2:13" x14ac:dyDescent="0.35">
      <c r="B63" s="22" t="s">
        <v>67</v>
      </c>
      <c r="D63" s="13">
        <f>SUM('Rate Revenues'!D135:D136)</f>
        <v>165168.53916387967</v>
      </c>
      <c r="E63" s="13">
        <f>SUM('Rate Revenues'!E135:E136)</f>
        <v>397090.15034976479</v>
      </c>
      <c r="F63" s="13">
        <f>SUM('Rate Revenues'!F135:F136)</f>
        <v>2242106.8384694038</v>
      </c>
      <c r="G63" s="13">
        <f>SUM('Rate Revenues'!G135:G136)</f>
        <v>3272830.2002598611</v>
      </c>
      <c r="H63" s="13">
        <f>SUM('Rate Revenues'!H135:H136)</f>
        <v>4493327.6274204003</v>
      </c>
      <c r="I63" s="13">
        <f>SUM('Rate Revenues'!I135:I136)</f>
        <v>5875600.5128439832</v>
      </c>
      <c r="J63" s="13">
        <f>SUM('Rate Revenues'!J135:J136)</f>
        <v>7523970.3366902452</v>
      </c>
      <c r="K63" s="13">
        <f>SUM('Rate Revenues'!K135:K136)</f>
        <v>9391903.0635312013</v>
      </c>
      <c r="L63" s="13">
        <f>SUM('Rate Revenues'!L135:L136)</f>
        <v>11520729.475316785</v>
      </c>
      <c r="M63" s="13">
        <f>SUM('Rate Revenues'!M135:M136)</f>
        <v>13843543.975602202</v>
      </c>
    </row>
    <row r="64" spans="2:13" x14ac:dyDescent="0.35">
      <c r="B64" s="22"/>
      <c r="D64" s="13">
        <f>SUM('Rate Revenues'!D139:D145)</f>
        <v>0</v>
      </c>
      <c r="E64" s="13">
        <f>SUM('Rate Revenues'!E139:E145)</f>
        <v>0</v>
      </c>
      <c r="F64" s="13">
        <f>SUM('Rate Revenues'!F139:F145)</f>
        <v>0</v>
      </c>
      <c r="G64" s="13">
        <f>SUM('Rate Revenues'!G139:G145)</f>
        <v>0</v>
      </c>
      <c r="H64" s="13">
        <f>SUM('Rate Revenues'!H139:H145)</f>
        <v>0</v>
      </c>
      <c r="I64" s="13">
        <f>SUM('Rate Revenues'!I139:I145)</f>
        <v>0</v>
      </c>
      <c r="J64" s="13">
        <f>SUM('Rate Revenues'!J139:J145)</f>
        <v>0</v>
      </c>
      <c r="K64" s="13">
        <f>SUM('Rate Revenues'!K139:K145)</f>
        <v>0</v>
      </c>
      <c r="L64" s="13">
        <f>SUM('Rate Revenues'!L139:L145)</f>
        <v>0</v>
      </c>
      <c r="M64" s="13">
        <f>SUM('Rate Revenues'!M139:M145)</f>
        <v>0</v>
      </c>
    </row>
    <row r="65" spans="2:13" x14ac:dyDescent="0.35">
      <c r="B65" s="22"/>
      <c r="D65" s="13">
        <f>SUM('Rate Revenues'!D148:D151)</f>
        <v>299690.00983248017</v>
      </c>
      <c r="E65" s="13">
        <f>SUM('Rate Revenues'!E148:E151)</f>
        <v>811604.25342124724</v>
      </c>
      <c r="F65" s="13">
        <f>SUM('Rate Revenues'!F148:F151)</f>
        <v>0</v>
      </c>
      <c r="G65" s="13">
        <f>SUM('Rate Revenues'!G148:G151)</f>
        <v>0</v>
      </c>
      <c r="H65" s="13">
        <f>SUM('Rate Revenues'!H148:H151)</f>
        <v>0</v>
      </c>
      <c r="I65" s="13">
        <f>SUM('Rate Revenues'!I148:I151)</f>
        <v>0</v>
      </c>
      <c r="J65" s="13">
        <f>SUM('Rate Revenues'!J148:J151)</f>
        <v>0</v>
      </c>
      <c r="K65" s="13">
        <f>SUM('Rate Revenues'!K148:K151)</f>
        <v>0</v>
      </c>
      <c r="L65" s="13">
        <f>SUM('Rate Revenues'!L148:L151)</f>
        <v>0</v>
      </c>
      <c r="M65" s="13">
        <f>SUM('Rate Revenues'!M148:M151)</f>
        <v>0</v>
      </c>
    </row>
    <row r="66" spans="2:13" s="2" customFormat="1" x14ac:dyDescent="0.35">
      <c r="B66" s="24" t="s">
        <v>68</v>
      </c>
      <c r="D66" s="36">
        <f>SUM(D62:D65)</f>
        <v>464858.54899635981</v>
      </c>
      <c r="E66" s="36">
        <f>SUM(E62:E65)</f>
        <v>1208694.4037710121</v>
      </c>
      <c r="F66" s="36">
        <f t="shared" ref="F66:M66" si="28">SUM(F62:F65)</f>
        <v>2242106.8384694038</v>
      </c>
      <c r="G66" s="36">
        <f t="shared" si="28"/>
        <v>3272830.2002598611</v>
      </c>
      <c r="H66" s="36">
        <f t="shared" si="28"/>
        <v>4493327.6274204003</v>
      </c>
      <c r="I66" s="36">
        <f t="shared" si="28"/>
        <v>5875600.5128439832</v>
      </c>
      <c r="J66" s="36">
        <f t="shared" si="28"/>
        <v>7523970.3366902452</v>
      </c>
      <c r="K66" s="36">
        <f t="shared" si="28"/>
        <v>9391903.0635312013</v>
      </c>
      <c r="L66" s="36">
        <f t="shared" si="28"/>
        <v>11520729.475316785</v>
      </c>
      <c r="M66" s="36">
        <f t="shared" si="28"/>
        <v>13843543.975602202</v>
      </c>
    </row>
    <row r="67" spans="2:13" x14ac:dyDescent="0.35">
      <c r="D67" s="13"/>
      <c r="E67" s="13"/>
      <c r="F67" s="13"/>
      <c r="G67" s="13"/>
      <c r="H67" s="13"/>
      <c r="I67" s="13"/>
      <c r="J67" s="13"/>
      <c r="K67" s="13"/>
      <c r="L67" s="13"/>
      <c r="M67" s="13"/>
    </row>
    <row r="68" spans="2:13" x14ac:dyDescent="0.35">
      <c r="B68" s="2" t="s">
        <v>69</v>
      </c>
      <c r="C68" s="2"/>
      <c r="D68" s="37"/>
      <c r="E68" s="37"/>
      <c r="F68" s="37"/>
      <c r="G68" s="37"/>
      <c r="H68" s="37"/>
      <c r="I68" s="37"/>
      <c r="J68" s="37"/>
      <c r="K68" s="37"/>
      <c r="L68" s="37"/>
      <c r="M68" s="37"/>
    </row>
    <row r="69" spans="2:13" x14ac:dyDescent="0.35">
      <c r="B69" s="22" t="s">
        <v>70</v>
      </c>
      <c r="D69" s="13">
        <f>SUM('Rate Revenues'!D158:D163)</f>
        <v>49762.430775013258</v>
      </c>
      <c r="E69" s="13">
        <f>SUM('Rate Revenues'!E158:E163)</f>
        <v>211319.49583069293</v>
      </c>
      <c r="F69" s="13">
        <f>SUM('Rate Revenues'!F158:F163)</f>
        <v>963115.7654148828</v>
      </c>
      <c r="G69" s="13">
        <f>SUM('Rate Revenues'!G158:G163)</f>
        <v>10292215.660238799</v>
      </c>
      <c r="H69" s="13">
        <f>SUM('Rate Revenues'!H158:H163)</f>
        <v>18223629.343097173</v>
      </c>
      <c r="I69" s="13">
        <f>SUM('Rate Revenues'!I158:I163)</f>
        <v>29899349.751607202</v>
      </c>
      <c r="J69" s="13">
        <f>SUM('Rate Revenues'!J158:J163)</f>
        <v>47176069.530716829</v>
      </c>
      <c r="K69" s="13">
        <f>SUM('Rate Revenues'!K158:K163)</f>
        <v>71700175.198991597</v>
      </c>
      <c r="L69" s="13">
        <f>SUM('Rate Revenues'!L158:L163)</f>
        <v>106303607.37060544</v>
      </c>
      <c r="M69" s="13">
        <f>SUM('Rate Revenues'!M158:M163)</f>
        <v>153824259.07185262</v>
      </c>
    </row>
    <row r="70" spans="2:13" s="2" customFormat="1" x14ac:dyDescent="0.35">
      <c r="B70" s="24" t="s">
        <v>71</v>
      </c>
      <c r="D70" s="36">
        <f>SUM(D69)</f>
        <v>49762.430775013258</v>
      </c>
      <c r="E70" s="36">
        <f>SUM(E69)</f>
        <v>211319.49583069293</v>
      </c>
      <c r="F70" s="36">
        <f t="shared" ref="F70:M70" si="29">SUM(F69)</f>
        <v>963115.7654148828</v>
      </c>
      <c r="G70" s="36">
        <f t="shared" si="29"/>
        <v>10292215.660238799</v>
      </c>
      <c r="H70" s="36">
        <f t="shared" si="29"/>
        <v>18223629.343097173</v>
      </c>
      <c r="I70" s="36">
        <f t="shared" si="29"/>
        <v>29899349.751607202</v>
      </c>
      <c r="J70" s="36">
        <f t="shared" si="29"/>
        <v>47176069.530716829</v>
      </c>
      <c r="K70" s="36">
        <f t="shared" si="29"/>
        <v>71700175.198991597</v>
      </c>
      <c r="L70" s="36">
        <f t="shared" si="29"/>
        <v>106303607.37060544</v>
      </c>
      <c r="M70" s="36">
        <f t="shared" si="29"/>
        <v>153824259.07185262</v>
      </c>
    </row>
    <row r="71" spans="2:13" x14ac:dyDescent="0.35">
      <c r="D71" s="13"/>
      <c r="E71" s="13"/>
      <c r="F71" s="13"/>
      <c r="G71" s="13"/>
      <c r="H71" s="13"/>
      <c r="I71" s="13"/>
      <c r="J71" s="13"/>
      <c r="K71" s="13"/>
      <c r="L71" s="13"/>
      <c r="M71" s="13"/>
    </row>
    <row r="72" spans="2:13" s="2" customFormat="1" x14ac:dyDescent="0.35">
      <c r="B72" s="24" t="s">
        <v>72</v>
      </c>
      <c r="D72" s="36">
        <f>SUM(D59,D66,D70)</f>
        <v>2942403.7560097263</v>
      </c>
      <c r="E72" s="36">
        <f>SUM(E59,E66,E70)</f>
        <v>8520044.2970476225</v>
      </c>
      <c r="F72" s="36">
        <f t="shared" ref="F72:M72" si="30">SUM(F59,F66,F70)</f>
        <v>17015554.707232431</v>
      </c>
      <c r="G72" s="36">
        <f t="shared" si="30"/>
        <v>31045983.497522932</v>
      </c>
      <c r="H72" s="36">
        <f t="shared" si="30"/>
        <v>47644134.557464167</v>
      </c>
      <c r="I72" s="36">
        <f t="shared" si="30"/>
        <v>69745428.933563113</v>
      </c>
      <c r="J72" s="36">
        <f t="shared" si="30"/>
        <v>100214379.53663333</v>
      </c>
      <c r="K72" s="36">
        <f t="shared" si="30"/>
        <v>140808411.70461798</v>
      </c>
      <c r="L72" s="36">
        <f t="shared" si="30"/>
        <v>195233654.49226969</v>
      </c>
      <c r="M72" s="36">
        <f t="shared" si="30"/>
        <v>266594294.45707488</v>
      </c>
    </row>
    <row r="73" spans="2:13" x14ac:dyDescent="0.35">
      <c r="B73" s="38"/>
    </row>
    <row r="75" spans="2:13" x14ac:dyDescent="0.35">
      <c r="B75" s="2" t="s">
        <v>73</v>
      </c>
      <c r="D75" s="37">
        <f t="shared" ref="D75:M75" si="31">D72</f>
        <v>2942403.7560097263</v>
      </c>
      <c r="E75" s="37">
        <f t="shared" si="31"/>
        <v>8520044.2970476225</v>
      </c>
      <c r="F75" s="37">
        <f t="shared" si="31"/>
        <v>17015554.707232431</v>
      </c>
      <c r="G75" s="37">
        <f t="shared" si="31"/>
        <v>31045983.497522932</v>
      </c>
      <c r="H75" s="37">
        <f t="shared" si="31"/>
        <v>47644134.557464167</v>
      </c>
      <c r="I75" s="37">
        <f t="shared" si="31"/>
        <v>69745428.933563113</v>
      </c>
      <c r="J75" s="37">
        <f t="shared" si="31"/>
        <v>100214379.53663333</v>
      </c>
      <c r="K75" s="37">
        <f t="shared" si="31"/>
        <v>140808411.70461798</v>
      </c>
      <c r="L75" s="37">
        <f t="shared" si="31"/>
        <v>195233654.49226969</v>
      </c>
      <c r="M75" s="37">
        <f t="shared" si="31"/>
        <v>266594294.45707488</v>
      </c>
    </row>
    <row r="76" spans="2:13" x14ac:dyDescent="0.35">
      <c r="B76" s="24" t="s">
        <v>74</v>
      </c>
      <c r="D76" s="158">
        <f t="shared" ref="D76:M76" si="32">D51*-1</f>
        <v>-1159047.7557607316</v>
      </c>
      <c r="E76" s="158">
        <f t="shared" si="32"/>
        <v>-3088523.5131634055</v>
      </c>
      <c r="F76" s="158">
        <f t="shared" si="32"/>
        <v>-7006444.4041475402</v>
      </c>
      <c r="G76" s="158">
        <f t="shared" si="32"/>
        <v>-12976107.195599627</v>
      </c>
      <c r="H76" s="158">
        <f t="shared" si="32"/>
        <v>-18830710.23537413</v>
      </c>
      <c r="I76" s="158">
        <f t="shared" si="32"/>
        <v>-26129068.275653563</v>
      </c>
      <c r="J76" s="158">
        <f t="shared" si="32"/>
        <v>-35656660.244942486</v>
      </c>
      <c r="K76" s="158">
        <f t="shared" si="32"/>
        <v>-47063415.00835833</v>
      </c>
      <c r="L76" s="158">
        <f t="shared" si="32"/>
        <v>-62208322.666715011</v>
      </c>
      <c r="M76" s="158">
        <f t="shared" si="32"/>
        <v>-81126908.412738025</v>
      </c>
    </row>
    <row r="77" spans="2:13" ht="15" thickBot="1" x14ac:dyDescent="0.4">
      <c r="B77" s="39" t="s">
        <v>75</v>
      </c>
      <c r="C77" s="40"/>
      <c r="D77" s="41">
        <f t="shared" ref="D77:M77" si="33">D75+D76</f>
        <v>1783356.0002489947</v>
      </c>
      <c r="E77" s="41">
        <f t="shared" si="33"/>
        <v>5431520.783884217</v>
      </c>
      <c r="F77" s="41">
        <f t="shared" si="33"/>
        <v>10009110.303084891</v>
      </c>
      <c r="G77" s="41">
        <f t="shared" si="33"/>
        <v>18069876.301923305</v>
      </c>
      <c r="H77" s="41">
        <f t="shared" si="33"/>
        <v>28813424.322090037</v>
      </c>
      <c r="I77" s="41">
        <f t="shared" si="33"/>
        <v>43616360.65790955</v>
      </c>
      <c r="J77" s="41">
        <f t="shared" si="33"/>
        <v>64557719.291690841</v>
      </c>
      <c r="K77" s="41">
        <f t="shared" si="33"/>
        <v>93744996.696259648</v>
      </c>
      <c r="L77" s="41">
        <f t="shared" si="33"/>
        <v>133025331.82555468</v>
      </c>
      <c r="M77" s="41">
        <f t="shared" si="33"/>
        <v>185467386.04433686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A48BB-B3D4-400B-B780-AC114EBC7942}">
  <sheetPr>
    <tabColor theme="9" tint="0.79998168889431442"/>
  </sheetPr>
  <dimension ref="B1:O180"/>
  <sheetViews>
    <sheetView workbookViewId="0">
      <selection activeCell="F20" sqref="F20:I20"/>
    </sheetView>
  </sheetViews>
  <sheetFormatPr defaultRowHeight="14.5" x14ac:dyDescent="0.35"/>
  <cols>
    <col min="2" max="2" width="36" customWidth="1"/>
    <col min="3" max="3" width="12" customWidth="1"/>
    <col min="4" max="6" width="17.54296875" hidden="1" customWidth="1"/>
    <col min="7" max="10" width="17.54296875" customWidth="1"/>
    <col min="11" max="13" width="17.54296875" hidden="1" customWidth="1"/>
  </cols>
  <sheetData>
    <row r="1" spans="2:13" x14ac:dyDescent="0.35">
      <c r="D1" s="3">
        <v>2021</v>
      </c>
      <c r="E1" s="3">
        <v>2022</v>
      </c>
      <c r="F1" s="3">
        <v>2023</v>
      </c>
      <c r="G1" s="3">
        <v>2024</v>
      </c>
      <c r="H1" s="3">
        <v>2025</v>
      </c>
      <c r="I1" s="3">
        <v>2026</v>
      </c>
      <c r="J1" s="3">
        <v>2027</v>
      </c>
      <c r="K1" s="3">
        <v>2028</v>
      </c>
      <c r="L1" s="3">
        <v>2029</v>
      </c>
      <c r="M1" s="3">
        <v>2030</v>
      </c>
    </row>
    <row r="3" spans="2:13" x14ac:dyDescent="0.35">
      <c r="B3" s="20" t="s">
        <v>76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2:13" x14ac:dyDescent="0.35">
      <c r="B5" s="42" t="s">
        <v>77</v>
      </c>
      <c r="C5" s="2"/>
    </row>
    <row r="6" spans="2:13" x14ac:dyDescent="0.35">
      <c r="B6" s="22" t="s">
        <v>78</v>
      </c>
      <c r="D6" s="19">
        <f>SUMIFS('EV Forecast'!$C$8:$C$17,'EV Forecast'!$B$8:$B$17,D$1)</f>
        <v>6216</v>
      </c>
      <c r="E6" s="19">
        <f>SUMIFS('EV Forecast'!$C$8:$C$17,'EV Forecast'!$B$8:$B$17,E$1)</f>
        <v>18251.611973743617</v>
      </c>
      <c r="F6" s="19">
        <f>SUMIFS('EV Forecast'!$C$8:$C$17,'EV Forecast'!$B$8:$B$17,F$1)</f>
        <v>33601.01320514729</v>
      </c>
      <c r="G6" s="19">
        <f>SUMIFS('EV Forecast'!$C$8:$C$17,'EV Forecast'!$B$8:$B$17,G$1)</f>
        <v>50402.528295999597</v>
      </c>
      <c r="H6" s="19">
        <f>SUMIFS('EV Forecast'!$C$8:$C$17,'EV Forecast'!$B$8:$B$17,H$1)</f>
        <v>65423.879314553458</v>
      </c>
      <c r="I6" s="19">
        <f>SUMIFS('EV Forecast'!$C$8:$C$17,'EV Forecast'!$B$8:$B$17,I$1)</f>
        <v>84637.852787149692</v>
      </c>
      <c r="J6" s="19">
        <f>SUMIFS('EV Forecast'!$C$8:$C$17,'EV Forecast'!$B$8:$B$17,J$1)</f>
        <v>107301.04916689586</v>
      </c>
      <c r="K6" s="19">
        <f>SUMIFS('EV Forecast'!$C$8:$C$17,'EV Forecast'!$B$8:$B$17,K$1)</f>
        <v>135717.63798833528</v>
      </c>
      <c r="L6" s="19">
        <f>SUMIFS('EV Forecast'!$C$8:$C$17,'EV Forecast'!$B$8:$B$17,L$1)</f>
        <v>170838.40442524647</v>
      </c>
      <c r="M6" s="19">
        <f>SUMIFS('EV Forecast'!$C$8:$C$17,'EV Forecast'!$B$8:$B$17,M$1)</f>
        <v>215214.16305246257</v>
      </c>
    </row>
    <row r="7" spans="2:13" x14ac:dyDescent="0.35">
      <c r="B7" s="22" t="s">
        <v>79</v>
      </c>
      <c r="D7" s="19">
        <f>SUMIFS('EV Forecast'!$D$8:$D$17,'EV Forecast'!$B$8:$B$17,D$1)</f>
        <v>0</v>
      </c>
      <c r="E7" s="19">
        <f>SUMIFS('EV Forecast'!$D$8:$D$17,'EV Forecast'!$B$8:$B$17,E$1)</f>
        <v>40.022876395333306</v>
      </c>
      <c r="F7" s="19">
        <f>SUMIFS('EV Forecast'!$D$8:$D$17,'EV Forecast'!$B$8:$B$17,F$1)</f>
        <v>129.68761274958726</v>
      </c>
      <c r="G7" s="19">
        <f>SUMIFS('EV Forecast'!$D$8:$D$17,'EV Forecast'!$B$8:$B$17,G$1)</f>
        <v>277.4722920844402</v>
      </c>
      <c r="H7" s="19">
        <f>SUMIFS('EV Forecast'!$D$8:$D$17,'EV Forecast'!$B$8:$B$17,H$1)</f>
        <v>496.04120812643782</v>
      </c>
      <c r="I7" s="19">
        <f>SUMIFS('EV Forecast'!$D$8:$D$17,'EV Forecast'!$B$8:$B$17,I$1)</f>
        <v>796.71543609685011</v>
      </c>
      <c r="J7" s="19">
        <f>SUMIFS('EV Forecast'!$D$8:$D$17,'EV Forecast'!$B$8:$B$17,J$1)</f>
        <v>1181.6311067768931</v>
      </c>
      <c r="K7" s="19">
        <f>SUMIFS('EV Forecast'!$D$8:$D$17,'EV Forecast'!$B$8:$B$17,K$1)</f>
        <v>1658.6740765651784</v>
      </c>
      <c r="L7" s="19">
        <f>SUMIFS('EV Forecast'!$D$8:$D$17,'EV Forecast'!$B$8:$B$17,L$1)</f>
        <v>2231.4263652123732</v>
      </c>
      <c r="M7" s="19">
        <f>SUMIFS('EV Forecast'!$D$8:$D$17,'EV Forecast'!$B$8:$B$17,M$1)</f>
        <v>2847.4684200788897</v>
      </c>
    </row>
    <row r="8" spans="2:13" x14ac:dyDescent="0.35">
      <c r="B8" s="22" t="s">
        <v>80</v>
      </c>
      <c r="D8" s="19">
        <f>SUMIFS('EV Forecast'!$E$8:$E$17,'EV Forecast'!$B$8:$B$17,D$1)</f>
        <v>0</v>
      </c>
      <c r="E8" s="19">
        <f>SUMIFS('EV Forecast'!$E$8:$E$17,'EV Forecast'!$B$8:$B$17,E$1)</f>
        <v>0</v>
      </c>
      <c r="F8" s="19">
        <f>SUMIFS('EV Forecast'!$E$8:$E$17,'EV Forecast'!$B$8:$B$17,F$1)</f>
        <v>6.7088307407616341</v>
      </c>
      <c r="G8" s="19">
        <f>SUMIFS('EV Forecast'!$E$8:$E$17,'EV Forecast'!$B$8:$B$17,G$1)</f>
        <v>50.51315460009539</v>
      </c>
      <c r="H8" s="19">
        <f>SUMIFS('EV Forecast'!$E$8:$E$17,'EV Forecast'!$B$8:$B$17,H$1)</f>
        <v>148.31749341562625</v>
      </c>
      <c r="I8" s="19">
        <f>SUMIFS('EV Forecast'!$E$8:$E$17,'EV Forecast'!$B$8:$B$17,I$1)</f>
        <v>332.68060260026232</v>
      </c>
      <c r="J8" s="19">
        <f>SUMIFS('EV Forecast'!$E$8:$E$17,'EV Forecast'!$B$8:$B$17,J$1)</f>
        <v>599.63851426445774</v>
      </c>
      <c r="K8" s="19">
        <f>SUMIFS('EV Forecast'!$E$8:$E$17,'EV Forecast'!$B$8:$B$17,K$1)</f>
        <v>936.2820926060898</v>
      </c>
      <c r="L8" s="19">
        <f>SUMIFS('EV Forecast'!$E$8:$E$17,'EV Forecast'!$B$8:$B$17,L$1)</f>
        <v>1364.9997227971244</v>
      </c>
      <c r="M8" s="19">
        <f>SUMIFS('EV Forecast'!$E$8:$E$17,'EV Forecast'!$B$8:$B$17,M$1)</f>
        <v>1868.2689462576709</v>
      </c>
    </row>
    <row r="9" spans="2:13" x14ac:dyDescent="0.35">
      <c r="B9" s="22" t="s">
        <v>81</v>
      </c>
      <c r="D9" s="43">
        <f t="shared" ref="D9" si="0">SUM(D6:D8)</f>
        <v>6216</v>
      </c>
      <c r="E9" s="43">
        <f t="shared" ref="E9:M9" si="1">SUM(E6:E8)</f>
        <v>18291.634850138951</v>
      </c>
      <c r="F9" s="43">
        <f t="shared" si="1"/>
        <v>33737.409648637637</v>
      </c>
      <c r="G9" s="43">
        <f t="shared" si="1"/>
        <v>50730.513742684132</v>
      </c>
      <c r="H9" s="43">
        <f t="shared" si="1"/>
        <v>66068.238016095522</v>
      </c>
      <c r="I9" s="43">
        <f t="shared" si="1"/>
        <v>85767.248825846807</v>
      </c>
      <c r="J9" s="43">
        <f t="shared" si="1"/>
        <v>109082.31878793721</v>
      </c>
      <c r="K9" s="43">
        <f t="shared" si="1"/>
        <v>138312.59415750657</v>
      </c>
      <c r="L9" s="43">
        <f t="shared" si="1"/>
        <v>174434.83051325596</v>
      </c>
      <c r="M9" s="43">
        <f t="shared" si="1"/>
        <v>219929.90041879914</v>
      </c>
    </row>
    <row r="11" spans="2:13" x14ac:dyDescent="0.35">
      <c r="B11" s="42" t="s">
        <v>82</v>
      </c>
      <c r="C11" s="2"/>
    </row>
    <row r="12" spans="2:13" x14ac:dyDescent="0.35">
      <c r="B12" s="22" t="s">
        <v>78</v>
      </c>
      <c r="D12" s="19">
        <f>SUMIFS('EV Forecast'!$I$8:$I$17,'EV Forecast'!$B$8:$B$17,D$1)</f>
        <v>25398.442076786967</v>
      </c>
      <c r="E12" s="19">
        <f>SUMIFS('EV Forecast'!$I$8:$I$17,'EV Forecast'!$B$8:$B$17,E$1)</f>
        <v>65226.938135783399</v>
      </c>
      <c r="F12" s="19">
        <f>SUMIFS('EV Forecast'!$I$8:$I$17,'EV Forecast'!$B$8:$B$17,F$1)</f>
        <v>125603.21654122593</v>
      </c>
      <c r="G12" s="19">
        <f>SUMIFS('EV Forecast'!$I$8:$I$17,'EV Forecast'!$B$8:$B$17,G$1)</f>
        <v>197589.01110624601</v>
      </c>
      <c r="H12" s="19">
        <f>SUMIFS('EV Forecast'!$I$8:$I$17,'EV Forecast'!$B$8:$B$17,H$1)</f>
        <v>270273.20388333529</v>
      </c>
      <c r="I12" s="19">
        <f>SUMIFS('EV Forecast'!$I$8:$I$17,'EV Forecast'!$B$8:$B$17,I$1)</f>
        <v>349763.59348999534</v>
      </c>
      <c r="J12" s="19">
        <f>SUMIFS('EV Forecast'!$I$8:$I$17,'EV Forecast'!$B$8:$B$17,J$1)</f>
        <v>448015.04659251246</v>
      </c>
      <c r="K12" s="19">
        <f>SUMIFS('EV Forecast'!$I$8:$I$17,'EV Forecast'!$B$8:$B$17,K$1)</f>
        <v>569115.56089831959</v>
      </c>
      <c r="L12" s="19">
        <f>SUMIFS('EV Forecast'!$I$8:$I$17,'EV Forecast'!$B$8:$B$17,L$1)</f>
        <v>721196.26973157539</v>
      </c>
      <c r="M12" s="19">
        <f>SUMIFS('EV Forecast'!$I$8:$I$17,'EV Forecast'!$B$8:$B$17,M$1)</f>
        <v>913272.29563927231</v>
      </c>
    </row>
    <row r="13" spans="2:13" x14ac:dyDescent="0.35">
      <c r="B13" s="22" t="s">
        <v>79</v>
      </c>
      <c r="D13" s="19">
        <f>SUMIFS('EV Forecast'!$J$8:$J$17,'EV Forecast'!$B$8:$B$17,D$1)</f>
        <v>0</v>
      </c>
      <c r="E13" s="19">
        <f>SUMIFS('EV Forecast'!$J$8:$J$17,'EV Forecast'!$B$8:$B$17,E$1)</f>
        <v>1052.7672730256324</v>
      </c>
      <c r="F13" s="19">
        <f>SUMIFS('EV Forecast'!$J$8:$J$17,'EV Forecast'!$B$8:$B$17,F$1)</f>
        <v>3411.3208923561233</v>
      </c>
      <c r="G13" s="19">
        <f>SUMIFS('EV Forecast'!$J$8:$J$17,'EV Forecast'!$B$8:$B$17,G$1)</f>
        <v>7298.6695257107649</v>
      </c>
      <c r="H13" s="19">
        <f>SUMIFS('EV Forecast'!$J$8:$J$17,'EV Forecast'!$B$8:$B$17,H$1)</f>
        <v>13047.936505845464</v>
      </c>
      <c r="I13" s="19">
        <f>SUMIFS('EV Forecast'!$J$8:$J$17,'EV Forecast'!$B$8:$B$17,I$1)</f>
        <v>20956.912960281585</v>
      </c>
      <c r="J13" s="19">
        <f>SUMIFS('EV Forecast'!$J$8:$J$17,'EV Forecast'!$B$8:$B$17,J$1)</f>
        <v>31081.787968363489</v>
      </c>
      <c r="K13" s="19">
        <f>SUMIFS('EV Forecast'!$J$8:$J$17,'EV Forecast'!$B$8:$B$17,K$1)</f>
        <v>43629.992186854412</v>
      </c>
      <c r="L13" s="19">
        <f>SUMIFS('EV Forecast'!$J$8:$J$17,'EV Forecast'!$B$8:$B$17,L$1)</f>
        <v>58695.74755841498</v>
      </c>
      <c r="M13" s="19">
        <f>SUMIFS('EV Forecast'!$J$8:$J$17,'EV Forecast'!$B$8:$B$17,M$1)</f>
        <v>74900.202924510333</v>
      </c>
    </row>
    <row r="14" spans="2:13" x14ac:dyDescent="0.35">
      <c r="B14" s="22" t="s">
        <v>80</v>
      </c>
      <c r="D14" s="19">
        <f>SUMIFS('EV Forecast'!$K$8:$K$17,'EV Forecast'!$B$8:$B$17,D$1)</f>
        <v>405.55962222685571</v>
      </c>
      <c r="E14" s="19">
        <f>SUMIFS('EV Forecast'!$K$8:$K$17,'EV Forecast'!$B$8:$B$17,E$1)</f>
        <v>405.55962222685571</v>
      </c>
      <c r="F14" s="19">
        <f>SUMIFS('EV Forecast'!$K$8:$K$17,'EV Forecast'!$B$8:$B$17,F$1)</f>
        <v>1282.9762949164849</v>
      </c>
      <c r="G14" s="19">
        <f>SUMIFS('EV Forecast'!$K$8:$K$17,'EV Forecast'!$B$8:$B$17,G$1)</f>
        <v>7011.9394444193731</v>
      </c>
      <c r="H14" s="19">
        <f>SUMIFS('EV Forecast'!$K$8:$K$17,'EV Forecast'!$B$8:$B$17,H$1)</f>
        <v>19803.312614223014</v>
      </c>
      <c r="I14" s="19">
        <f>SUMIFS('EV Forecast'!$K$8:$K$17,'EV Forecast'!$B$8:$B$17,I$1)</f>
        <v>43915.303522661656</v>
      </c>
      <c r="J14" s="19">
        <f>SUMIFS('EV Forecast'!$K$8:$K$17,'EV Forecast'!$B$8:$B$17,J$1)</f>
        <v>78829.483303262081</v>
      </c>
      <c r="K14" s="19">
        <f>SUMIFS('EV Forecast'!$K$8:$K$17,'EV Forecast'!$B$8:$B$17,K$1)</f>
        <v>122857.526311739</v>
      </c>
      <c r="L14" s="19">
        <f>SUMIFS('EV Forecast'!$K$8:$K$17,'EV Forecast'!$B$8:$B$17,L$1)</f>
        <v>178927.50499224087</v>
      </c>
      <c r="M14" s="19">
        <f>SUMIFS('EV Forecast'!$K$8:$K$17,'EV Forecast'!$B$8:$B$17,M$1)</f>
        <v>244747.73873772888</v>
      </c>
    </row>
    <row r="15" spans="2:13" x14ac:dyDescent="0.35">
      <c r="B15" s="22" t="s">
        <v>83</v>
      </c>
      <c r="D15" s="43">
        <f t="shared" ref="D15" si="2">SUM(D12:D14)</f>
        <v>25804.001699013821</v>
      </c>
      <c r="E15" s="43">
        <f t="shared" ref="E15:M15" si="3">SUM(E12:E14)</f>
        <v>66685.265031035888</v>
      </c>
      <c r="F15" s="43">
        <f t="shared" si="3"/>
        <v>130297.51372849854</v>
      </c>
      <c r="G15" s="43">
        <f t="shared" si="3"/>
        <v>211899.62007637616</v>
      </c>
      <c r="H15" s="43">
        <f t="shared" si="3"/>
        <v>303124.45300340373</v>
      </c>
      <c r="I15" s="43">
        <f t="shared" si="3"/>
        <v>414635.80997293862</v>
      </c>
      <c r="J15" s="43">
        <f t="shared" si="3"/>
        <v>557926.31786413805</v>
      </c>
      <c r="K15" s="43">
        <f t="shared" si="3"/>
        <v>735603.07939691294</v>
      </c>
      <c r="L15" s="43">
        <f t="shared" si="3"/>
        <v>958819.52228223113</v>
      </c>
      <c r="M15" s="43">
        <f t="shared" si="3"/>
        <v>1232920.2373015115</v>
      </c>
    </row>
    <row r="17" spans="2:15" x14ac:dyDescent="0.35">
      <c r="B17" s="42" t="s">
        <v>84</v>
      </c>
    </row>
    <row r="18" spans="2:15" x14ac:dyDescent="0.35">
      <c r="B18" s="22" t="s">
        <v>85</v>
      </c>
      <c r="D18" s="161">
        <v>0.8</v>
      </c>
      <c r="E18" s="44">
        <f>D18+(($M18-$D18)/9)</f>
        <v>0.78298130961107593</v>
      </c>
      <c r="F18" s="44">
        <f t="shared" ref="F18:L20" si="4">E18+(($M18-$D18)/9)</f>
        <v>0.76596261922215181</v>
      </c>
      <c r="G18" s="44">
        <f t="shared" si="4"/>
        <v>0.74894392883322769</v>
      </c>
      <c r="H18" s="44">
        <f t="shared" si="4"/>
        <v>0.73192523844430357</v>
      </c>
      <c r="I18" s="44">
        <f t="shared" si="4"/>
        <v>0.71490654805537945</v>
      </c>
      <c r="J18" s="44">
        <f t="shared" si="4"/>
        <v>0.69788785766645534</v>
      </c>
      <c r="K18" s="44">
        <f t="shared" si="4"/>
        <v>0.68086916727753122</v>
      </c>
      <c r="L18" s="44">
        <f t="shared" si="4"/>
        <v>0.6638504768886071</v>
      </c>
      <c r="M18" s="159">
        <v>0.6468317864996832</v>
      </c>
      <c r="O18" s="91" t="s">
        <v>86</v>
      </c>
    </row>
    <row r="19" spans="2:15" x14ac:dyDescent="0.35">
      <c r="B19" s="22" t="s">
        <v>87</v>
      </c>
      <c r="D19" s="160">
        <f>1-D18-D20</f>
        <v>0.15798594319721712</v>
      </c>
      <c r="E19" s="44">
        <f>D19+(($M19-$D19)/9)</f>
        <v>0.15005762404821113</v>
      </c>
      <c r="F19" s="44">
        <f t="shared" si="4"/>
        <v>0.14212930489920514</v>
      </c>
      <c r="G19" s="44">
        <f t="shared" si="4"/>
        <v>0.13420098575019915</v>
      </c>
      <c r="H19" s="44">
        <f t="shared" si="4"/>
        <v>0.12627266660119316</v>
      </c>
      <c r="I19" s="44">
        <f t="shared" si="4"/>
        <v>0.11834434745218715</v>
      </c>
      <c r="J19" s="44">
        <f t="shared" si="4"/>
        <v>0.11041602830318115</v>
      </c>
      <c r="K19" s="44">
        <f t="shared" si="4"/>
        <v>0.10248770915417514</v>
      </c>
      <c r="L19" s="44">
        <f t="shared" si="4"/>
        <v>9.4559390005169136E-2</v>
      </c>
      <c r="M19" s="159">
        <v>8.6631070856163117E-2</v>
      </c>
      <c r="O19" s="91" t="s">
        <v>86</v>
      </c>
    </row>
    <row r="20" spans="2:15" x14ac:dyDescent="0.35">
      <c r="B20" s="22" t="s">
        <v>88</v>
      </c>
      <c r="D20" s="160">
        <f>6644.47553004996/'EV Forecast'!$X$64</f>
        <v>4.2014056802782834E-2</v>
      </c>
      <c r="E20" s="44">
        <f>D20+(($M20-$D20)/9)</f>
        <v>6.696106634071293E-2</v>
      </c>
      <c r="F20" s="44">
        <f t="shared" si="4"/>
        <v>9.1908075878643025E-2</v>
      </c>
      <c r="G20" s="44">
        <f t="shared" si="4"/>
        <v>0.11685508541657312</v>
      </c>
      <c r="H20" s="44">
        <f t="shared" si="4"/>
        <v>0.14180209495450322</v>
      </c>
      <c r="I20" s="44">
        <f t="shared" si="4"/>
        <v>0.16674910449243333</v>
      </c>
      <c r="J20" s="44">
        <f t="shared" si="4"/>
        <v>0.19169611403036343</v>
      </c>
      <c r="K20" s="44">
        <f t="shared" si="4"/>
        <v>0.21664312356829354</v>
      </c>
      <c r="L20" s="44">
        <f t="shared" si="4"/>
        <v>0.24159013310622365</v>
      </c>
      <c r="M20" s="159">
        <v>0.26653714264415374</v>
      </c>
      <c r="O20" s="91" t="s">
        <v>86</v>
      </c>
    </row>
    <row r="21" spans="2:15" x14ac:dyDescent="0.35">
      <c r="D21" s="45"/>
      <c r="E21" s="45"/>
      <c r="F21" s="45"/>
      <c r="G21" s="45"/>
      <c r="H21" s="45"/>
      <c r="I21" s="45"/>
      <c r="J21" s="45"/>
      <c r="K21" s="45"/>
      <c r="L21" s="45"/>
      <c r="M21" s="45"/>
    </row>
    <row r="22" spans="2:15" x14ac:dyDescent="0.35">
      <c r="B22" s="42" t="s">
        <v>89</v>
      </c>
    </row>
    <row r="23" spans="2:15" x14ac:dyDescent="0.35">
      <c r="B23" s="22" t="s">
        <v>85</v>
      </c>
      <c r="D23" s="26">
        <f>D$15*D18</f>
        <v>20643.20135921106</v>
      </c>
      <c r="E23" s="26">
        <f t="shared" ref="E23:M23" si="5">E$15*E18</f>
        <v>52213.316145762168</v>
      </c>
      <c r="F23" s="26">
        <f t="shared" si="5"/>
        <v>99803.024893615031</v>
      </c>
      <c r="G23" s="26">
        <f t="shared" si="5"/>
        <v>158700.93397826946</v>
      </c>
      <c r="H23" s="26">
        <f t="shared" si="5"/>
        <v>221864.43754281537</v>
      </c>
      <c r="I23" s="26">
        <f t="shared" si="5"/>
        <v>296425.85560789984</v>
      </c>
      <c r="J23" s="26">
        <f t="shared" si="5"/>
        <v>389370.00270993711</v>
      </c>
      <c r="K23" s="26">
        <f t="shared" si="5"/>
        <v>500849.45611576381</v>
      </c>
      <c r="L23" s="26">
        <f t="shared" si="5"/>
        <v>636512.79711716552</v>
      </c>
      <c r="M23" s="26">
        <f t="shared" si="5"/>
        <v>797491.99970535003</v>
      </c>
    </row>
    <row r="24" spans="2:15" x14ac:dyDescent="0.35">
      <c r="B24" s="22" t="s">
        <v>87</v>
      </c>
      <c r="D24" s="26">
        <f t="shared" ref="D24:M25" si="6">D$15*D19</f>
        <v>4076.6695466812916</v>
      </c>
      <c r="E24" s="26">
        <f t="shared" si="6"/>
        <v>10006.632429582503</v>
      </c>
      <c r="F24" s="26">
        <f t="shared" si="6"/>
        <v>18519.095056326136</v>
      </c>
      <c r="G24" s="26">
        <f t="shared" si="6"/>
        <v>28437.13789434237</v>
      </c>
      <c r="H24" s="26">
        <f t="shared" si="6"/>
        <v>38276.332992767842</v>
      </c>
      <c r="I24" s="26">
        <f t="shared" si="6"/>
        <v>49069.804361556497</v>
      </c>
      <c r="J24" s="26">
        <f t="shared" si="6"/>
        <v>61604.008104376306</v>
      </c>
      <c r="K24" s="26">
        <f t="shared" si="6"/>
        <v>75390.27445414642</v>
      </c>
      <c r="L24" s="26">
        <f t="shared" si="6"/>
        <v>90665.389152055446</v>
      </c>
      <c r="M24" s="26">
        <f t="shared" si="6"/>
        <v>106809.20043766468</v>
      </c>
    </row>
    <row r="25" spans="2:15" x14ac:dyDescent="0.35">
      <c r="B25" s="22" t="s">
        <v>88</v>
      </c>
      <c r="D25" s="26">
        <f t="shared" si="6"/>
        <v>1084.1307931214715</v>
      </c>
      <c r="E25" s="26">
        <f t="shared" si="6"/>
        <v>4465.3164556912179</v>
      </c>
      <c r="F25" s="26">
        <f t="shared" si="6"/>
        <v>11975.393778557374</v>
      </c>
      <c r="G25" s="26">
        <f t="shared" si="6"/>
        <v>24761.548203764327</v>
      </c>
      <c r="H25" s="26">
        <f t="shared" si="6"/>
        <v>42983.682467820501</v>
      </c>
      <c r="I25" s="26">
        <f t="shared" si="6"/>
        <v>69140.150003482267</v>
      </c>
      <c r="J25" s="26">
        <f t="shared" si="6"/>
        <v>106952.30704982461</v>
      </c>
      <c r="K25" s="26">
        <f t="shared" si="6"/>
        <v>159363.34882700266</v>
      </c>
      <c r="L25" s="26">
        <f t="shared" si="6"/>
        <v>231641.33601301</v>
      </c>
      <c r="M25" s="26">
        <f t="shared" si="6"/>
        <v>328619.03715849685</v>
      </c>
    </row>
    <row r="26" spans="2:15" x14ac:dyDescent="0.35">
      <c r="B26" s="22" t="s">
        <v>83</v>
      </c>
      <c r="D26" s="43">
        <f t="shared" ref="D26:M26" si="7">SUM(D23:D25)</f>
        <v>25804.001699013825</v>
      </c>
      <c r="E26" s="43">
        <f t="shared" si="7"/>
        <v>66685.265031035888</v>
      </c>
      <c r="F26" s="43">
        <f t="shared" si="7"/>
        <v>130297.51372849855</v>
      </c>
      <c r="G26" s="43">
        <f t="shared" si="7"/>
        <v>211899.62007637616</v>
      </c>
      <c r="H26" s="43">
        <f t="shared" si="7"/>
        <v>303124.45300340373</v>
      </c>
      <c r="I26" s="43">
        <f t="shared" si="7"/>
        <v>414635.80997293862</v>
      </c>
      <c r="J26" s="43">
        <f t="shared" si="7"/>
        <v>557926.31786413805</v>
      </c>
      <c r="K26" s="43">
        <f t="shared" si="7"/>
        <v>735603.07939691294</v>
      </c>
      <c r="L26" s="43">
        <f t="shared" si="7"/>
        <v>958819.52228223102</v>
      </c>
      <c r="M26" s="43">
        <f t="shared" si="7"/>
        <v>1232920.2373015115</v>
      </c>
    </row>
    <row r="28" spans="2:15" x14ac:dyDescent="0.35">
      <c r="I28" s="46"/>
    </row>
    <row r="29" spans="2:15" x14ac:dyDescent="0.35">
      <c r="B29" s="20" t="s">
        <v>90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1" spans="2:15" x14ac:dyDescent="0.35">
      <c r="B31" s="47" t="s">
        <v>35</v>
      </c>
    </row>
    <row r="32" spans="2:15" x14ac:dyDescent="0.35">
      <c r="B32" s="22" t="s">
        <v>64</v>
      </c>
      <c r="C32" s="161">
        <v>1</v>
      </c>
      <c r="D32" s="26">
        <f>D23-D33</f>
        <v>856.01153190714831</v>
      </c>
      <c r="E32" s="26">
        <f>E23-E33</f>
        <v>8496.0771199955343</v>
      </c>
      <c r="F32" s="26">
        <f>F23-F33</f>
        <v>49901.512446807516</v>
      </c>
      <c r="G32" s="26">
        <f t="shared" ref="G32:M33" si="8">G$23*$C32</f>
        <v>158700.93397826946</v>
      </c>
      <c r="H32" s="26">
        <f t="shared" si="8"/>
        <v>221864.43754281537</v>
      </c>
      <c r="I32" s="26">
        <f t="shared" si="8"/>
        <v>296425.85560789984</v>
      </c>
      <c r="J32" s="26">
        <f t="shared" si="8"/>
        <v>389370.00270993711</v>
      </c>
      <c r="K32" s="26">
        <f t="shared" si="8"/>
        <v>500849.45611576381</v>
      </c>
      <c r="L32" s="26">
        <f t="shared" si="8"/>
        <v>636512.79711716552</v>
      </c>
      <c r="M32" s="26">
        <f t="shared" si="8"/>
        <v>797491.99970535003</v>
      </c>
      <c r="O32" s="91" t="s">
        <v>91</v>
      </c>
    </row>
    <row r="33" spans="2:13" x14ac:dyDescent="0.35">
      <c r="B33" s="22"/>
      <c r="C33" s="161">
        <v>0</v>
      </c>
      <c r="D33" s="26">
        <f>D23*0.958533004788756</f>
        <v>19787.189827303911</v>
      </c>
      <c r="E33" s="26">
        <f>E23*0.837281411196383</f>
        <v>43717.239025766634</v>
      </c>
      <c r="F33" s="26">
        <f>F23*0.5</f>
        <v>49901.512446807516</v>
      </c>
      <c r="G33" s="26">
        <f t="shared" si="8"/>
        <v>0</v>
      </c>
      <c r="H33" s="26">
        <f t="shared" si="8"/>
        <v>0</v>
      </c>
      <c r="I33" s="26">
        <f t="shared" si="8"/>
        <v>0</v>
      </c>
      <c r="J33" s="26">
        <f t="shared" si="8"/>
        <v>0</v>
      </c>
      <c r="K33" s="26">
        <f t="shared" si="8"/>
        <v>0</v>
      </c>
      <c r="L33" s="26">
        <f t="shared" si="8"/>
        <v>0</v>
      </c>
      <c r="M33" s="26">
        <f t="shared" si="8"/>
        <v>0</v>
      </c>
    </row>
    <row r="34" spans="2:13" x14ac:dyDescent="0.35">
      <c r="B34" s="22" t="s">
        <v>92</v>
      </c>
      <c r="D34" s="43">
        <f t="shared" ref="D34:M34" si="9">SUM(D32:D33)</f>
        <v>20643.20135921106</v>
      </c>
      <c r="E34" s="43">
        <f t="shared" si="9"/>
        <v>52213.316145762168</v>
      </c>
      <c r="F34" s="43">
        <f t="shared" si="9"/>
        <v>99803.024893615031</v>
      </c>
      <c r="G34" s="43">
        <f t="shared" si="9"/>
        <v>158700.93397826946</v>
      </c>
      <c r="H34" s="43">
        <f t="shared" si="9"/>
        <v>221864.43754281537</v>
      </c>
      <c r="I34" s="43">
        <f t="shared" si="9"/>
        <v>296425.85560789984</v>
      </c>
      <c r="J34" s="43">
        <f t="shared" si="9"/>
        <v>389370.00270993711</v>
      </c>
      <c r="K34" s="43">
        <f t="shared" si="9"/>
        <v>500849.45611576381</v>
      </c>
      <c r="L34" s="43">
        <f t="shared" si="9"/>
        <v>636512.79711716552</v>
      </c>
      <c r="M34" s="43">
        <f t="shared" si="9"/>
        <v>797491.99970535003</v>
      </c>
    </row>
    <row r="35" spans="2:13" x14ac:dyDescent="0.35">
      <c r="B35" s="22"/>
    </row>
    <row r="36" spans="2:13" x14ac:dyDescent="0.35">
      <c r="B36" s="47" t="s">
        <v>39</v>
      </c>
    </row>
    <row r="37" spans="2:13" x14ac:dyDescent="0.35">
      <c r="B37" s="22"/>
      <c r="C37" s="161">
        <v>0</v>
      </c>
      <c r="D37" s="26">
        <f>D$24*0</f>
        <v>0</v>
      </c>
      <c r="E37" s="26">
        <f>E$24*0</f>
        <v>0</v>
      </c>
      <c r="F37" s="26">
        <f t="shared" ref="F37:M40" si="10">F$24*$C37</f>
        <v>0</v>
      </c>
      <c r="G37" s="26">
        <f t="shared" si="10"/>
        <v>0</v>
      </c>
      <c r="H37" s="26">
        <f t="shared" si="10"/>
        <v>0</v>
      </c>
      <c r="I37" s="26">
        <f t="shared" si="10"/>
        <v>0</v>
      </c>
      <c r="J37" s="26">
        <f t="shared" si="10"/>
        <v>0</v>
      </c>
      <c r="K37" s="26">
        <f t="shared" si="10"/>
        <v>0</v>
      </c>
      <c r="L37" s="26">
        <f t="shared" si="10"/>
        <v>0</v>
      </c>
      <c r="M37" s="26">
        <f t="shared" si="10"/>
        <v>0</v>
      </c>
    </row>
    <row r="38" spans="2:13" x14ac:dyDescent="0.35">
      <c r="B38" s="22" t="s">
        <v>67</v>
      </c>
      <c r="C38" s="161">
        <v>1</v>
      </c>
      <c r="D38" s="26">
        <f>D$24*0.373380862919926</f>
        <v>1522.1503931792442</v>
      </c>
      <c r="E38" s="26">
        <f>E$24*0.331647523637119</f>
        <v>3318.6748652179249</v>
      </c>
      <c r="F38" s="26">
        <f t="shared" si="10"/>
        <v>18519.095056326136</v>
      </c>
      <c r="G38" s="26">
        <f t="shared" si="10"/>
        <v>28437.13789434237</v>
      </c>
      <c r="H38" s="26">
        <f t="shared" si="10"/>
        <v>38276.332992767842</v>
      </c>
      <c r="I38" s="26">
        <f t="shared" si="10"/>
        <v>49069.804361556497</v>
      </c>
      <c r="J38" s="26">
        <f t="shared" si="10"/>
        <v>61604.008104376306</v>
      </c>
      <c r="K38" s="26">
        <f t="shared" si="10"/>
        <v>75390.27445414642</v>
      </c>
      <c r="L38" s="26">
        <f t="shared" si="10"/>
        <v>90665.389152055446</v>
      </c>
      <c r="M38" s="26">
        <f t="shared" si="10"/>
        <v>106809.20043766468</v>
      </c>
    </row>
    <row r="39" spans="2:13" x14ac:dyDescent="0.35">
      <c r="B39" s="22"/>
      <c r="C39" s="161">
        <v>0</v>
      </c>
      <c r="D39" s="26">
        <f>D$24*0</f>
        <v>0</v>
      </c>
      <c r="E39" s="26">
        <f>E$24*0</f>
        <v>0</v>
      </c>
      <c r="F39" s="26">
        <f t="shared" si="10"/>
        <v>0</v>
      </c>
      <c r="G39" s="26">
        <f t="shared" si="10"/>
        <v>0</v>
      </c>
      <c r="H39" s="26">
        <f t="shared" si="10"/>
        <v>0</v>
      </c>
      <c r="I39" s="26">
        <f t="shared" si="10"/>
        <v>0</v>
      </c>
      <c r="J39" s="26">
        <f t="shared" si="10"/>
        <v>0</v>
      </c>
      <c r="K39" s="26">
        <f t="shared" si="10"/>
        <v>0</v>
      </c>
      <c r="L39" s="26">
        <f t="shared" si="10"/>
        <v>0</v>
      </c>
      <c r="M39" s="26">
        <f t="shared" si="10"/>
        <v>0</v>
      </c>
    </row>
    <row r="40" spans="2:13" x14ac:dyDescent="0.35">
      <c r="B40" s="22"/>
      <c r="C40" s="161">
        <v>0</v>
      </c>
      <c r="D40" s="26">
        <f>D$24-D38</f>
        <v>2554.5191535020476</v>
      </c>
      <c r="E40" s="26">
        <f>E$24-E38</f>
        <v>6687.9575643645785</v>
      </c>
      <c r="F40" s="26">
        <f t="shared" si="10"/>
        <v>0</v>
      </c>
      <c r="G40" s="26">
        <f t="shared" si="10"/>
        <v>0</v>
      </c>
      <c r="H40" s="26">
        <f t="shared" si="10"/>
        <v>0</v>
      </c>
      <c r="I40" s="26">
        <f t="shared" si="10"/>
        <v>0</v>
      </c>
      <c r="J40" s="26">
        <f t="shared" si="10"/>
        <v>0</v>
      </c>
      <c r="K40" s="26">
        <f t="shared" si="10"/>
        <v>0</v>
      </c>
      <c r="L40" s="26">
        <f t="shared" si="10"/>
        <v>0</v>
      </c>
      <c r="M40" s="26">
        <f t="shared" si="10"/>
        <v>0</v>
      </c>
    </row>
    <row r="41" spans="2:13" x14ac:dyDescent="0.35">
      <c r="B41" s="22" t="s">
        <v>93</v>
      </c>
      <c r="D41" s="43">
        <f t="shared" ref="D41:M41" si="11">SUM(D37:D40)</f>
        <v>4076.6695466812916</v>
      </c>
      <c r="E41" s="43">
        <f t="shared" si="11"/>
        <v>10006.632429582503</v>
      </c>
      <c r="F41" s="43">
        <f t="shared" si="11"/>
        <v>18519.095056326136</v>
      </c>
      <c r="G41" s="43">
        <f t="shared" si="11"/>
        <v>28437.13789434237</v>
      </c>
      <c r="H41" s="43">
        <f t="shared" si="11"/>
        <v>38276.332992767842</v>
      </c>
      <c r="I41" s="43">
        <f t="shared" si="11"/>
        <v>49069.804361556497</v>
      </c>
      <c r="J41" s="43">
        <f t="shared" si="11"/>
        <v>61604.008104376306</v>
      </c>
      <c r="K41" s="43">
        <f t="shared" si="11"/>
        <v>75390.27445414642</v>
      </c>
      <c r="L41" s="43">
        <f t="shared" si="11"/>
        <v>90665.389152055446</v>
      </c>
      <c r="M41" s="43">
        <f t="shared" si="11"/>
        <v>106809.20043766468</v>
      </c>
    </row>
    <row r="42" spans="2:13" x14ac:dyDescent="0.35">
      <c r="B42" s="22"/>
    </row>
    <row r="43" spans="2:13" x14ac:dyDescent="0.35">
      <c r="B43" s="47" t="s">
        <v>40</v>
      </c>
    </row>
    <row r="44" spans="2:13" x14ac:dyDescent="0.35">
      <c r="B44" s="22" t="s">
        <v>70</v>
      </c>
      <c r="C44" s="161">
        <v>1</v>
      </c>
      <c r="D44" s="26">
        <f t="shared" ref="D44:M44" si="12">D$25*$C44</f>
        <v>1084.1307931214715</v>
      </c>
      <c r="E44" s="26">
        <f t="shared" si="12"/>
        <v>4465.3164556912179</v>
      </c>
      <c r="F44" s="26">
        <f t="shared" si="12"/>
        <v>11975.393778557374</v>
      </c>
      <c r="G44" s="26">
        <f t="shared" si="12"/>
        <v>24761.548203764327</v>
      </c>
      <c r="H44" s="26">
        <f t="shared" si="12"/>
        <v>42983.682467820501</v>
      </c>
      <c r="I44" s="26">
        <f t="shared" si="12"/>
        <v>69140.150003482267</v>
      </c>
      <c r="J44" s="26">
        <f t="shared" si="12"/>
        <v>106952.30704982461</v>
      </c>
      <c r="K44" s="26">
        <f t="shared" si="12"/>
        <v>159363.34882700266</v>
      </c>
      <c r="L44" s="26">
        <f t="shared" si="12"/>
        <v>231641.33601301</v>
      </c>
      <c r="M44" s="26">
        <f t="shared" si="12"/>
        <v>328619.03715849685</v>
      </c>
    </row>
    <row r="45" spans="2:13" x14ac:dyDescent="0.35">
      <c r="B45" s="22" t="s">
        <v>94</v>
      </c>
      <c r="D45" s="43">
        <f t="shared" ref="D45:M45" si="13">SUM(D44)</f>
        <v>1084.1307931214715</v>
      </c>
      <c r="E45" s="43">
        <f t="shared" si="13"/>
        <v>4465.3164556912179</v>
      </c>
      <c r="F45" s="43">
        <f t="shared" si="13"/>
        <v>11975.393778557374</v>
      </c>
      <c r="G45" s="43">
        <f t="shared" si="13"/>
        <v>24761.548203764327</v>
      </c>
      <c r="H45" s="43">
        <f t="shared" si="13"/>
        <v>42983.682467820501</v>
      </c>
      <c r="I45" s="43">
        <f t="shared" si="13"/>
        <v>69140.150003482267</v>
      </c>
      <c r="J45" s="43">
        <f t="shared" si="13"/>
        <v>106952.30704982461</v>
      </c>
      <c r="K45" s="43">
        <f t="shared" si="13"/>
        <v>159363.34882700266</v>
      </c>
      <c r="L45" s="43">
        <f t="shared" si="13"/>
        <v>231641.33601301</v>
      </c>
      <c r="M45" s="43">
        <f t="shared" si="13"/>
        <v>328619.03715849685</v>
      </c>
    </row>
    <row r="46" spans="2:13" x14ac:dyDescent="0.35">
      <c r="B46" s="38"/>
    </row>
    <row r="48" spans="2:13" x14ac:dyDescent="0.35">
      <c r="B48" s="20" t="s">
        <v>95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</row>
    <row r="50" spans="2:13" x14ac:dyDescent="0.35">
      <c r="B50" s="48" t="s">
        <v>35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2" spans="2:13" x14ac:dyDescent="0.35">
      <c r="B52" s="42" t="s">
        <v>96</v>
      </c>
    </row>
    <row r="53" spans="2:13" x14ac:dyDescent="0.35">
      <c r="B53" s="22" t="s">
        <v>97</v>
      </c>
      <c r="C53" s="49">
        <f>'Load Data'!F21</f>
        <v>4.3892340488271717E-2</v>
      </c>
      <c r="D53" s="26">
        <f>D$32*$C53*1000</f>
        <v>37572.349620355621</v>
      </c>
      <c r="E53" s="26">
        <f t="shared" ref="E53:G53" si="14">E$32*$C53*1000</f>
        <v>372912.70976545895</v>
      </c>
      <c r="F53" s="26">
        <f t="shared" si="14"/>
        <v>2190294.1751950048</v>
      </c>
      <c r="G53" s="26">
        <f t="shared" si="14"/>
        <v>6965755.4299809337</v>
      </c>
      <c r="H53" s="26">
        <f>H$32*$C53*1000</f>
        <v>9738149.4348681457</v>
      </c>
      <c r="I53" s="26">
        <f t="shared" ref="I53:M53" si="15">I$32*$C53*1000</f>
        <v>13010824.583869208</v>
      </c>
      <c r="J53" s="26">
        <f t="shared" si="15"/>
        <v>17090360.73486384</v>
      </c>
      <c r="K53" s="26">
        <f t="shared" si="15"/>
        <v>21983454.861198805</v>
      </c>
      <c r="L53" s="26">
        <f t="shared" si="15"/>
        <v>27938036.416208845</v>
      </c>
      <c r="M53" s="26">
        <f t="shared" si="15"/>
        <v>35003790.387739904</v>
      </c>
    </row>
    <row r="54" spans="2:13" x14ac:dyDescent="0.35">
      <c r="B54" s="22" t="s">
        <v>98</v>
      </c>
      <c r="C54" s="49">
        <f>'Load Data'!F22</f>
        <v>0.17581714900040193</v>
      </c>
      <c r="D54" s="26">
        <f t="shared" ref="D54:M58" si="16">D$32*$C54*1000</f>
        <v>150501.5070513814</v>
      </c>
      <c r="E54" s="26">
        <f t="shared" si="16"/>
        <v>1493756.0569251606</v>
      </c>
      <c r="F54" s="26">
        <f t="shared" si="16"/>
        <v>8773541.6492057685</v>
      </c>
      <c r="G54" s="26">
        <f t="shared" si="16"/>
        <v>27902345.755760349</v>
      </c>
      <c r="H54" s="26">
        <f t="shared" si="16"/>
        <v>39007572.873355538</v>
      </c>
      <c r="I54" s="26">
        <f t="shared" si="16"/>
        <v>52116748.822985753</v>
      </c>
      <c r="J54" s="26">
        <f t="shared" si="16"/>
        <v>68457923.782739922</v>
      </c>
      <c r="K54" s="26">
        <f t="shared" si="16"/>
        <v>88057923.452675521</v>
      </c>
      <c r="L54" s="26">
        <f t="shared" si="16"/>
        <v>111909865.29141131</v>
      </c>
      <c r="M54" s="26">
        <f t="shared" si="16"/>
        <v>140212769.73882401</v>
      </c>
    </row>
    <row r="55" spans="2:13" x14ac:dyDescent="0.35">
      <c r="B55" s="22" t="s">
        <v>99</v>
      </c>
      <c r="C55" s="49">
        <f>'Load Data'!F23</f>
        <v>0.11362384384466029</v>
      </c>
      <c r="D55" s="26">
        <f t="shared" si="16"/>
        <v>97263.320630646267</v>
      </c>
      <c r="E55" s="26">
        <f t="shared" si="16"/>
        <v>965356.93997456366</v>
      </c>
      <c r="F55" s="26">
        <f t="shared" si="16"/>
        <v>5670001.6578684291</v>
      </c>
      <c r="G55" s="26">
        <f t="shared" si="16"/>
        <v>18032210.140348632</v>
      </c>
      <c r="H55" s="26">
        <f t="shared" si="16"/>
        <v>25209090.206048239</v>
      </c>
      <c r="I55" s="26">
        <f t="shared" si="16"/>
        <v>33681045.129111826</v>
      </c>
      <c r="J55" s="26">
        <f t="shared" si="16"/>
        <v>44241716.385708846</v>
      </c>
      <c r="K55" s="26">
        <f t="shared" si="16"/>
        <v>56908440.391380578</v>
      </c>
      <c r="L55" s="26">
        <f t="shared" si="16"/>
        <v>72323030.664768755</v>
      </c>
      <c r="M55" s="26">
        <f t="shared" si="16"/>
        <v>90614106.441886559</v>
      </c>
    </row>
    <row r="56" spans="2:13" x14ac:dyDescent="0.35">
      <c r="B56" s="22" t="s">
        <v>100</v>
      </c>
      <c r="C56" s="49">
        <f>'Load Data'!I21</f>
        <v>8.7784680976543419E-2</v>
      </c>
      <c r="D56" s="26">
        <f t="shared" si="16"/>
        <v>75144.699240711227</v>
      </c>
      <c r="E56" s="26">
        <f t="shared" si="16"/>
        <v>745825.41953091777</v>
      </c>
      <c r="F56" s="26">
        <f t="shared" si="16"/>
        <v>4380588.3503900087</v>
      </c>
      <c r="G56" s="26">
        <f t="shared" si="16"/>
        <v>13931510.859961864</v>
      </c>
      <c r="H56" s="26">
        <f t="shared" si="16"/>
        <v>19476298.869736288</v>
      </c>
      <c r="I56" s="26">
        <f t="shared" si="16"/>
        <v>26021649.167738412</v>
      </c>
      <c r="J56" s="26">
        <f t="shared" si="16"/>
        <v>34180721.469727673</v>
      </c>
      <c r="K56" s="26">
        <f t="shared" si="16"/>
        <v>43966909.722397603</v>
      </c>
      <c r="L56" s="26">
        <f t="shared" si="16"/>
        <v>55876072.832417682</v>
      </c>
      <c r="M56" s="26">
        <f t="shared" si="16"/>
        <v>70007580.775479808</v>
      </c>
    </row>
    <row r="57" spans="2:13" x14ac:dyDescent="0.35">
      <c r="B57" s="22" t="s">
        <v>101</v>
      </c>
      <c r="C57" s="49">
        <f>'Load Data'!I22</f>
        <v>0.32016356293436593</v>
      </c>
      <c r="D57" s="26">
        <f t="shared" si="16"/>
        <v>274063.70196829725</v>
      </c>
      <c r="E57" s="26">
        <f t="shared" si="16"/>
        <v>2720134.3217029166</v>
      </c>
      <c r="F57" s="26">
        <f t="shared" si="16"/>
        <v>15976646.020783503</v>
      </c>
      <c r="G57" s="26">
        <f t="shared" si="16"/>
        <v>50810256.463494323</v>
      </c>
      <c r="H57" s="26">
        <f t="shared" si="16"/>
        <v>71032908.812136874</v>
      </c>
      <c r="I57" s="26">
        <f t="shared" si="16"/>
        <v>94904758.077293113</v>
      </c>
      <c r="J57" s="26">
        <f t="shared" si="16"/>
        <v>124662087.36737719</v>
      </c>
      <c r="K57" s="26">
        <f t="shared" si="16"/>
        <v>160353746.36376229</v>
      </c>
      <c r="L57" s="26">
        <f t="shared" si="16"/>
        <v>203788204.97835094</v>
      </c>
      <c r="M57" s="26">
        <f t="shared" si="16"/>
        <v>255327880.03731716</v>
      </c>
    </row>
    <row r="58" spans="2:13" x14ac:dyDescent="0.35">
      <c r="B58" s="22" t="s">
        <v>102</v>
      </c>
      <c r="C58" s="49">
        <f>'Load Data'!I23</f>
        <v>0.25871842275575807</v>
      </c>
      <c r="D58" s="26">
        <f t="shared" si="16"/>
        <v>221465.95339575768</v>
      </c>
      <c r="E58" s="26">
        <f t="shared" si="16"/>
        <v>2198091.6720965281</v>
      </c>
      <c r="F58" s="26">
        <f t="shared" si="16"/>
        <v>12910440.59336487</v>
      </c>
      <c r="G58" s="26">
        <f t="shared" si="16"/>
        <v>41058855.328723572</v>
      </c>
      <c r="H58" s="26">
        <f t="shared" si="16"/>
        <v>57400417.34667059</v>
      </c>
      <c r="I58" s="26">
        <f t="shared" si="16"/>
        <v>76690829.826901928</v>
      </c>
      <c r="J58" s="26">
        <f t="shared" si="16"/>
        <v>100737192.96952017</v>
      </c>
      <c r="K58" s="26">
        <f t="shared" si="16"/>
        <v>129578981.32434967</v>
      </c>
      <c r="L58" s="26">
        <f t="shared" si="16"/>
        <v>164677586.9340089</v>
      </c>
      <c r="M58" s="26">
        <f t="shared" si="16"/>
        <v>206325872.32410362</v>
      </c>
    </row>
    <row r="59" spans="2:13" x14ac:dyDescent="0.35">
      <c r="B59" s="22"/>
      <c r="C59" s="49"/>
      <c r="D59" s="26"/>
      <c r="E59" s="26"/>
      <c r="F59" s="26"/>
      <c r="G59" s="26"/>
      <c r="H59" s="26"/>
      <c r="I59" s="26"/>
      <c r="J59" s="26"/>
      <c r="K59" s="26"/>
      <c r="L59" s="26"/>
      <c r="M59" s="26"/>
    </row>
    <row r="60" spans="2:13" x14ac:dyDescent="0.35">
      <c r="B60" s="42" t="s">
        <v>103</v>
      </c>
    </row>
    <row r="61" spans="2:13" x14ac:dyDescent="0.35">
      <c r="B61" s="22" t="s">
        <v>104</v>
      </c>
      <c r="C61" s="49">
        <f>SUM(C53:C55)</f>
        <v>0.33333333333333393</v>
      </c>
      <c r="D61" s="26">
        <f t="shared" ref="D61:M62" si="17">D$33*$C61*1000</f>
        <v>6595729.942434649</v>
      </c>
      <c r="E61" s="26">
        <f t="shared" si="17"/>
        <v>14572413.008588905</v>
      </c>
      <c r="F61" s="26">
        <f t="shared" si="17"/>
        <v>16633837.482269201</v>
      </c>
      <c r="G61" s="26">
        <f>G$33*$C61*1000</f>
        <v>0</v>
      </c>
      <c r="H61" s="26">
        <f>H$33*$C61*1000</f>
        <v>0</v>
      </c>
      <c r="I61" s="26">
        <f t="shared" si="17"/>
        <v>0</v>
      </c>
      <c r="J61" s="26">
        <f t="shared" si="17"/>
        <v>0</v>
      </c>
      <c r="K61" s="26">
        <f t="shared" si="17"/>
        <v>0</v>
      </c>
      <c r="L61" s="26">
        <f t="shared" si="17"/>
        <v>0</v>
      </c>
      <c r="M61" s="26">
        <f t="shared" si="17"/>
        <v>0</v>
      </c>
    </row>
    <row r="62" spans="2:13" x14ac:dyDescent="0.35">
      <c r="B62" s="22" t="s">
        <v>105</v>
      </c>
      <c r="C62" s="49">
        <f>SUM(C56:C58)</f>
        <v>0.66666666666666741</v>
      </c>
      <c r="D62" s="26">
        <f t="shared" si="17"/>
        <v>13191459.884869289</v>
      </c>
      <c r="E62" s="26">
        <f t="shared" si="17"/>
        <v>29144826.017177787</v>
      </c>
      <c r="F62" s="26">
        <f t="shared" si="17"/>
        <v>33267674.964538384</v>
      </c>
      <c r="G62" s="26">
        <f t="shared" si="17"/>
        <v>0</v>
      </c>
      <c r="H62" s="26">
        <f t="shared" si="17"/>
        <v>0</v>
      </c>
      <c r="I62" s="26">
        <f t="shared" si="17"/>
        <v>0</v>
      </c>
      <c r="J62" s="26">
        <f t="shared" si="17"/>
        <v>0</v>
      </c>
      <c r="K62" s="26">
        <f t="shared" si="17"/>
        <v>0</v>
      </c>
      <c r="L62" s="26">
        <f t="shared" si="17"/>
        <v>0</v>
      </c>
      <c r="M62" s="26">
        <f t="shared" si="17"/>
        <v>0</v>
      </c>
    </row>
    <row r="64" spans="2:13" x14ac:dyDescent="0.35">
      <c r="B64" s="48" t="s">
        <v>39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</row>
    <row r="66" spans="2:13" x14ac:dyDescent="0.35">
      <c r="B66" s="42" t="s">
        <v>106</v>
      </c>
    </row>
    <row r="67" spans="2:13" x14ac:dyDescent="0.35">
      <c r="B67" s="22" t="s">
        <v>97</v>
      </c>
      <c r="C67" s="49">
        <f>'Load Data'!BD21</f>
        <v>3.3993841136412892E-2</v>
      </c>
      <c r="D67" s="26">
        <f>D$37*$C67*1000</f>
        <v>0</v>
      </c>
      <c r="E67" s="26">
        <f>E$37*$C67*1000</f>
        <v>0</v>
      </c>
      <c r="F67" s="26">
        <f t="shared" ref="F67:M67" si="18">F$37*$C67*1000</f>
        <v>0</v>
      </c>
      <c r="G67" s="26">
        <f t="shared" si="18"/>
        <v>0</v>
      </c>
      <c r="H67" s="26">
        <f t="shared" si="18"/>
        <v>0</v>
      </c>
      <c r="I67" s="26">
        <f t="shared" si="18"/>
        <v>0</v>
      </c>
      <c r="J67" s="26">
        <f t="shared" si="18"/>
        <v>0</v>
      </c>
      <c r="K67" s="26">
        <f t="shared" si="18"/>
        <v>0</v>
      </c>
      <c r="L67" s="26">
        <f t="shared" si="18"/>
        <v>0</v>
      </c>
      <c r="M67" s="26">
        <f t="shared" si="18"/>
        <v>0</v>
      </c>
    </row>
    <row r="68" spans="2:13" x14ac:dyDescent="0.35">
      <c r="B68" s="22" t="s">
        <v>98</v>
      </c>
      <c r="C68" s="49">
        <f>'Load Data'!BD22</f>
        <v>3.7702942494182108E-2</v>
      </c>
      <c r="D68" s="26">
        <f t="shared" ref="D68:M72" si="19">D$37*$C68*1000</f>
        <v>0</v>
      </c>
      <c r="E68" s="26">
        <f t="shared" si="19"/>
        <v>0</v>
      </c>
      <c r="F68" s="26">
        <f t="shared" si="19"/>
        <v>0</v>
      </c>
      <c r="G68" s="26">
        <f t="shared" si="19"/>
        <v>0</v>
      </c>
      <c r="H68" s="26">
        <f t="shared" si="19"/>
        <v>0</v>
      </c>
      <c r="I68" s="26">
        <f t="shared" si="19"/>
        <v>0</v>
      </c>
      <c r="J68" s="26">
        <f t="shared" si="19"/>
        <v>0</v>
      </c>
      <c r="K68" s="26">
        <f t="shared" si="19"/>
        <v>0</v>
      </c>
      <c r="L68" s="26">
        <f t="shared" si="19"/>
        <v>0</v>
      </c>
      <c r="M68" s="26">
        <f t="shared" si="19"/>
        <v>0</v>
      </c>
    </row>
    <row r="69" spans="2:13" x14ac:dyDescent="0.35">
      <c r="B69" s="22" t="s">
        <v>99</v>
      </c>
      <c r="C69" s="49">
        <f>'Load Data'!BD23</f>
        <v>0.26163654970273809</v>
      </c>
      <c r="D69" s="26">
        <f t="shared" si="19"/>
        <v>0</v>
      </c>
      <c r="E69" s="26">
        <f t="shared" si="19"/>
        <v>0</v>
      </c>
      <c r="F69" s="26">
        <f t="shared" si="19"/>
        <v>0</v>
      </c>
      <c r="G69" s="26">
        <f t="shared" si="19"/>
        <v>0</v>
      </c>
      <c r="H69" s="26">
        <f t="shared" si="19"/>
        <v>0</v>
      </c>
      <c r="I69" s="26">
        <f t="shared" si="19"/>
        <v>0</v>
      </c>
      <c r="J69" s="26">
        <f t="shared" si="19"/>
        <v>0</v>
      </c>
      <c r="K69" s="26">
        <f t="shared" si="19"/>
        <v>0</v>
      </c>
      <c r="L69" s="26">
        <f t="shared" si="19"/>
        <v>0</v>
      </c>
      <c r="M69" s="26">
        <f t="shared" si="19"/>
        <v>0</v>
      </c>
    </row>
    <row r="70" spans="2:13" x14ac:dyDescent="0.35">
      <c r="B70" s="22" t="s">
        <v>100</v>
      </c>
      <c r="C70" s="49">
        <f>'Load Data'!BG21</f>
        <v>6.7987682272825783E-2</v>
      </c>
      <c r="D70" s="26">
        <f t="shared" si="19"/>
        <v>0</v>
      </c>
      <c r="E70" s="26">
        <f t="shared" si="19"/>
        <v>0</v>
      </c>
      <c r="F70" s="26">
        <f t="shared" si="19"/>
        <v>0</v>
      </c>
      <c r="G70" s="26">
        <f t="shared" si="19"/>
        <v>0</v>
      </c>
      <c r="H70" s="26">
        <f t="shared" si="19"/>
        <v>0</v>
      </c>
      <c r="I70" s="26">
        <f t="shared" si="19"/>
        <v>0</v>
      </c>
      <c r="J70" s="26">
        <f t="shared" si="19"/>
        <v>0</v>
      </c>
      <c r="K70" s="26">
        <f t="shared" si="19"/>
        <v>0</v>
      </c>
      <c r="L70" s="26">
        <f t="shared" si="19"/>
        <v>0</v>
      </c>
      <c r="M70" s="26">
        <f t="shared" si="19"/>
        <v>0</v>
      </c>
    </row>
    <row r="71" spans="2:13" x14ac:dyDescent="0.35">
      <c r="B71" s="22" t="s">
        <v>101</v>
      </c>
      <c r="C71" s="49">
        <f>'Load Data'!BG22</f>
        <v>7.5405884988364202E-2</v>
      </c>
      <c r="D71" s="26">
        <f t="shared" si="19"/>
        <v>0</v>
      </c>
      <c r="E71" s="26">
        <f t="shared" si="19"/>
        <v>0</v>
      </c>
      <c r="F71" s="26">
        <f t="shared" si="19"/>
        <v>0</v>
      </c>
      <c r="G71" s="26">
        <f t="shared" si="19"/>
        <v>0</v>
      </c>
      <c r="H71" s="26">
        <f t="shared" si="19"/>
        <v>0</v>
      </c>
      <c r="I71" s="26">
        <f t="shared" si="19"/>
        <v>0</v>
      </c>
      <c r="J71" s="26">
        <f t="shared" si="19"/>
        <v>0</v>
      </c>
      <c r="K71" s="26">
        <f t="shared" si="19"/>
        <v>0</v>
      </c>
      <c r="L71" s="26">
        <f t="shared" si="19"/>
        <v>0</v>
      </c>
      <c r="M71" s="26">
        <f t="shared" si="19"/>
        <v>0</v>
      </c>
    </row>
    <row r="72" spans="2:13" x14ac:dyDescent="0.35">
      <c r="B72" s="22" t="s">
        <v>102</v>
      </c>
      <c r="C72" s="49">
        <f>'Load Data'!BG23</f>
        <v>0.52327309940547617</v>
      </c>
      <c r="D72" s="26">
        <f t="shared" si="19"/>
        <v>0</v>
      </c>
      <c r="E72" s="26">
        <f t="shared" si="19"/>
        <v>0</v>
      </c>
      <c r="F72" s="26">
        <f t="shared" si="19"/>
        <v>0</v>
      </c>
      <c r="G72" s="26">
        <f t="shared" si="19"/>
        <v>0</v>
      </c>
      <c r="H72" s="26">
        <f t="shared" si="19"/>
        <v>0</v>
      </c>
      <c r="I72" s="26">
        <f t="shared" si="19"/>
        <v>0</v>
      </c>
      <c r="J72" s="26">
        <f t="shared" si="19"/>
        <v>0</v>
      </c>
      <c r="K72" s="26">
        <f t="shared" si="19"/>
        <v>0</v>
      </c>
      <c r="L72" s="26">
        <f t="shared" si="19"/>
        <v>0</v>
      </c>
      <c r="M72" s="26">
        <f t="shared" si="19"/>
        <v>0</v>
      </c>
    </row>
    <row r="74" spans="2:13" x14ac:dyDescent="0.35">
      <c r="B74" s="42" t="s">
        <v>107</v>
      </c>
    </row>
    <row r="75" spans="2:13" x14ac:dyDescent="0.35">
      <c r="B75" s="22" t="s">
        <v>104</v>
      </c>
      <c r="C75" s="49">
        <f>SUM(C67:C69)</f>
        <v>0.33333333333333309</v>
      </c>
      <c r="D75" s="26">
        <f t="shared" ref="D75:M76" si="20">D$38*$C75*1000</f>
        <v>507383.46439308103</v>
      </c>
      <c r="E75" s="26">
        <f t="shared" si="20"/>
        <v>1106224.9550726409</v>
      </c>
      <c r="F75" s="26">
        <f t="shared" si="20"/>
        <v>6173031.6854420407</v>
      </c>
      <c r="G75" s="26">
        <f t="shared" si="20"/>
        <v>9479045.9647807833</v>
      </c>
      <c r="H75" s="26">
        <f t="shared" si="20"/>
        <v>12758777.664255938</v>
      </c>
      <c r="I75" s="26">
        <f t="shared" si="20"/>
        <v>16356601.453852154</v>
      </c>
      <c r="J75" s="26">
        <f t="shared" si="20"/>
        <v>20534669.36812542</v>
      </c>
      <c r="K75" s="26">
        <f t="shared" si="20"/>
        <v>25130091.484715458</v>
      </c>
      <c r="L75" s="26">
        <f t="shared" si="20"/>
        <v>30221796.384018458</v>
      </c>
      <c r="M75" s="26">
        <f t="shared" si="20"/>
        <v>35603066.812554866</v>
      </c>
    </row>
    <row r="76" spans="2:13" x14ac:dyDescent="0.35">
      <c r="B76" s="22" t="s">
        <v>105</v>
      </c>
      <c r="C76" s="49">
        <f>SUM(C70:C72)</f>
        <v>0.66666666666666619</v>
      </c>
      <c r="D76" s="26">
        <f t="shared" si="20"/>
        <v>1014766.9287861621</v>
      </c>
      <c r="E76" s="26">
        <f t="shared" si="20"/>
        <v>2212449.9101452818</v>
      </c>
      <c r="F76" s="26">
        <f t="shared" si="20"/>
        <v>12346063.370884081</v>
      </c>
      <c r="G76" s="26">
        <f t="shared" si="20"/>
        <v>18958091.929561567</v>
      </c>
      <c r="H76" s="26">
        <f t="shared" si="20"/>
        <v>25517555.328511875</v>
      </c>
      <c r="I76" s="26">
        <f t="shared" si="20"/>
        <v>32713202.907704309</v>
      </c>
      <c r="J76" s="26">
        <f t="shared" si="20"/>
        <v>41069338.73625084</v>
      </c>
      <c r="K76" s="26">
        <f t="shared" si="20"/>
        <v>50260182.969430916</v>
      </c>
      <c r="L76" s="26">
        <f t="shared" si="20"/>
        <v>60443592.768036917</v>
      </c>
      <c r="M76" s="26">
        <f t="shared" si="20"/>
        <v>71206133.625109732</v>
      </c>
    </row>
    <row r="78" spans="2:13" x14ac:dyDescent="0.35">
      <c r="B78" s="42" t="s">
        <v>108</v>
      </c>
    </row>
    <row r="79" spans="2:13" x14ac:dyDescent="0.35">
      <c r="B79" s="22" t="s">
        <v>97</v>
      </c>
      <c r="C79" s="49">
        <f>'Load Data'!BK21</f>
        <v>6.143282418526954E-2</v>
      </c>
      <c r="D79" s="26">
        <f t="shared" ref="D79:M82" si="21">D$39*$C79*1000</f>
        <v>0</v>
      </c>
      <c r="E79" s="26">
        <f t="shared" si="21"/>
        <v>0</v>
      </c>
      <c r="F79" s="26">
        <f t="shared" si="21"/>
        <v>0</v>
      </c>
      <c r="G79" s="26">
        <f t="shared" si="21"/>
        <v>0</v>
      </c>
      <c r="H79" s="26">
        <f t="shared" si="21"/>
        <v>0</v>
      </c>
      <c r="I79" s="26">
        <f t="shared" si="21"/>
        <v>0</v>
      </c>
      <c r="J79" s="26">
        <f t="shared" si="21"/>
        <v>0</v>
      </c>
      <c r="K79" s="26">
        <f t="shared" si="21"/>
        <v>0</v>
      </c>
      <c r="L79" s="26">
        <f t="shared" si="21"/>
        <v>0</v>
      </c>
      <c r="M79" s="26">
        <f t="shared" si="21"/>
        <v>0</v>
      </c>
    </row>
    <row r="80" spans="2:13" x14ac:dyDescent="0.35">
      <c r="B80" s="22" t="s">
        <v>99</v>
      </c>
      <c r="C80" s="49">
        <f>'Load Data'!BK23</f>
        <v>0.27190050914806357</v>
      </c>
      <c r="D80" s="26">
        <f t="shared" si="21"/>
        <v>0</v>
      </c>
      <c r="E80" s="26">
        <f t="shared" si="21"/>
        <v>0</v>
      </c>
      <c r="F80" s="26">
        <f t="shared" si="21"/>
        <v>0</v>
      </c>
      <c r="G80" s="26">
        <f t="shared" si="21"/>
        <v>0</v>
      </c>
      <c r="H80" s="26">
        <f t="shared" si="21"/>
        <v>0</v>
      </c>
      <c r="I80" s="26">
        <f t="shared" si="21"/>
        <v>0</v>
      </c>
      <c r="J80" s="26">
        <f t="shared" si="21"/>
        <v>0</v>
      </c>
      <c r="K80" s="26">
        <f t="shared" si="21"/>
        <v>0</v>
      </c>
      <c r="L80" s="26">
        <f t="shared" si="21"/>
        <v>0</v>
      </c>
      <c r="M80" s="26">
        <f t="shared" si="21"/>
        <v>0</v>
      </c>
    </row>
    <row r="81" spans="2:13" x14ac:dyDescent="0.35">
      <c r="B81" s="22" t="s">
        <v>100</v>
      </c>
      <c r="C81" s="49">
        <f>'Load Data'!BN21</f>
        <v>0.12286564837053911</v>
      </c>
      <c r="D81" s="26">
        <f t="shared" si="21"/>
        <v>0</v>
      </c>
      <c r="E81" s="26">
        <f t="shared" si="21"/>
        <v>0</v>
      </c>
      <c r="F81" s="26">
        <f t="shared" si="21"/>
        <v>0</v>
      </c>
      <c r="G81" s="26">
        <f t="shared" si="21"/>
        <v>0</v>
      </c>
      <c r="H81" s="26">
        <f t="shared" si="21"/>
        <v>0</v>
      </c>
      <c r="I81" s="26">
        <f t="shared" si="21"/>
        <v>0</v>
      </c>
      <c r="J81" s="26">
        <f t="shared" si="21"/>
        <v>0</v>
      </c>
      <c r="K81" s="26">
        <f t="shared" si="21"/>
        <v>0</v>
      </c>
      <c r="L81" s="26">
        <f t="shared" si="21"/>
        <v>0</v>
      </c>
      <c r="M81" s="26">
        <f t="shared" si="21"/>
        <v>0</v>
      </c>
    </row>
    <row r="82" spans="2:13" x14ac:dyDescent="0.35">
      <c r="B82" s="22" t="s">
        <v>102</v>
      </c>
      <c r="C82" s="49">
        <f>'Load Data'!BN23</f>
        <v>0.54380101829612704</v>
      </c>
      <c r="D82" s="26">
        <f t="shared" si="21"/>
        <v>0</v>
      </c>
      <c r="E82" s="26">
        <f t="shared" si="21"/>
        <v>0</v>
      </c>
      <c r="F82" s="26">
        <f t="shared" si="21"/>
        <v>0</v>
      </c>
      <c r="G82" s="26">
        <f t="shared" si="21"/>
        <v>0</v>
      </c>
      <c r="H82" s="26">
        <f t="shared" si="21"/>
        <v>0</v>
      </c>
      <c r="I82" s="26">
        <f t="shared" si="21"/>
        <v>0</v>
      </c>
      <c r="J82" s="26">
        <f t="shared" si="21"/>
        <v>0</v>
      </c>
      <c r="K82" s="26">
        <f t="shared" si="21"/>
        <v>0</v>
      </c>
      <c r="L82" s="26">
        <f t="shared" si="21"/>
        <v>0</v>
      </c>
      <c r="M82" s="26">
        <f t="shared" si="21"/>
        <v>0</v>
      </c>
    </row>
    <row r="83" spans="2:13" x14ac:dyDescent="0.35">
      <c r="B83" s="22" t="s">
        <v>109</v>
      </c>
      <c r="C83" s="49"/>
      <c r="D83" s="26"/>
      <c r="E83" s="26"/>
      <c r="F83" s="26"/>
      <c r="G83" s="26"/>
      <c r="H83" s="26"/>
      <c r="I83" s="26"/>
      <c r="J83" s="26"/>
      <c r="K83" s="26"/>
      <c r="L83" s="26"/>
      <c r="M83" s="26"/>
    </row>
    <row r="84" spans="2:13" x14ac:dyDescent="0.35">
      <c r="B84" s="22" t="s">
        <v>110</v>
      </c>
      <c r="C84" s="49">
        <f>'Load Data'!BK25</f>
        <v>0.39423586415635409</v>
      </c>
      <c r="D84" s="26">
        <f t="shared" ref="D84" si="22">SUM(D79:D80)/(8760/12)/$C84</f>
        <v>0</v>
      </c>
      <c r="E84" s="26">
        <f t="shared" ref="E84:F84" si="23">SUM(E79:E80)/(8760/12)/$C84</f>
        <v>0</v>
      </c>
      <c r="F84" s="26">
        <f t="shared" si="23"/>
        <v>0</v>
      </c>
      <c r="G84" s="26">
        <f t="shared" ref="G84:M84" si="24">SUM(G79:G80)/(8760/12)/$C84</f>
        <v>0</v>
      </c>
      <c r="H84" s="26">
        <f t="shared" si="24"/>
        <v>0</v>
      </c>
      <c r="I84" s="26">
        <f t="shared" si="24"/>
        <v>0</v>
      </c>
      <c r="J84" s="26">
        <f t="shared" si="24"/>
        <v>0</v>
      </c>
      <c r="K84" s="26">
        <f t="shared" si="24"/>
        <v>0</v>
      </c>
      <c r="L84" s="26">
        <f t="shared" si="24"/>
        <v>0</v>
      </c>
      <c r="M84" s="26">
        <f t="shared" si="24"/>
        <v>0</v>
      </c>
    </row>
    <row r="85" spans="2:13" x14ac:dyDescent="0.35">
      <c r="B85" s="22" t="s">
        <v>111</v>
      </c>
      <c r="C85" s="49">
        <f>'Load Data'!BN25</f>
        <v>0.39423586415635409</v>
      </c>
      <c r="D85" s="26">
        <f t="shared" ref="D85:M85" si="25">SUM(D81:D82)/(8760/12)/$C85</f>
        <v>0</v>
      </c>
      <c r="E85" s="26">
        <f t="shared" si="25"/>
        <v>0</v>
      </c>
      <c r="F85" s="26">
        <f t="shared" si="25"/>
        <v>0</v>
      </c>
      <c r="G85" s="26">
        <f t="shared" si="25"/>
        <v>0</v>
      </c>
      <c r="H85" s="26">
        <f t="shared" si="25"/>
        <v>0</v>
      </c>
      <c r="I85" s="26">
        <f t="shared" si="25"/>
        <v>0</v>
      </c>
      <c r="J85" s="26">
        <f t="shared" si="25"/>
        <v>0</v>
      </c>
      <c r="K85" s="26">
        <f t="shared" si="25"/>
        <v>0</v>
      </c>
      <c r="L85" s="26">
        <f t="shared" si="25"/>
        <v>0</v>
      </c>
      <c r="M85" s="26">
        <f t="shared" si="25"/>
        <v>0</v>
      </c>
    </row>
    <row r="87" spans="2:13" x14ac:dyDescent="0.35">
      <c r="B87" s="42" t="s">
        <v>112</v>
      </c>
    </row>
    <row r="88" spans="2:13" x14ac:dyDescent="0.35">
      <c r="B88" s="22" t="s">
        <v>104</v>
      </c>
      <c r="C88" s="49">
        <f>C75</f>
        <v>0.33333333333333309</v>
      </c>
      <c r="D88" s="26">
        <f>D$40*$C88*1000</f>
        <v>851506.384500682</v>
      </c>
      <c r="E88" s="26">
        <f t="shared" ref="E88:M89" si="26">E$40*$C88*1000</f>
        <v>2229319.1881215242</v>
      </c>
      <c r="F88" s="26">
        <f t="shared" si="26"/>
        <v>0</v>
      </c>
      <c r="G88" s="26">
        <f t="shared" si="26"/>
        <v>0</v>
      </c>
      <c r="H88" s="26">
        <f t="shared" si="26"/>
        <v>0</v>
      </c>
      <c r="I88" s="26">
        <f t="shared" si="26"/>
        <v>0</v>
      </c>
      <c r="J88" s="26">
        <f t="shared" si="26"/>
        <v>0</v>
      </c>
      <c r="K88" s="26">
        <f t="shared" si="26"/>
        <v>0</v>
      </c>
      <c r="L88" s="26">
        <f t="shared" si="26"/>
        <v>0</v>
      </c>
      <c r="M88" s="26">
        <f t="shared" si="26"/>
        <v>0</v>
      </c>
    </row>
    <row r="89" spans="2:13" x14ac:dyDescent="0.35">
      <c r="B89" s="22" t="s">
        <v>105</v>
      </c>
      <c r="C89" s="49">
        <f>C76</f>
        <v>0.66666666666666619</v>
      </c>
      <c r="D89" s="26">
        <f>D$40*$C89*1000</f>
        <v>1703012.769001364</v>
      </c>
      <c r="E89" s="26">
        <f t="shared" si="26"/>
        <v>4458638.3762430483</v>
      </c>
      <c r="F89" s="26">
        <f t="shared" si="26"/>
        <v>0</v>
      </c>
      <c r="G89" s="26">
        <f t="shared" si="26"/>
        <v>0</v>
      </c>
      <c r="H89" s="26">
        <f t="shared" si="26"/>
        <v>0</v>
      </c>
      <c r="I89" s="26">
        <f t="shared" si="26"/>
        <v>0</v>
      </c>
      <c r="J89" s="26">
        <f t="shared" si="26"/>
        <v>0</v>
      </c>
      <c r="K89" s="26">
        <f t="shared" si="26"/>
        <v>0</v>
      </c>
      <c r="L89" s="26">
        <f t="shared" si="26"/>
        <v>0</v>
      </c>
      <c r="M89" s="26">
        <f t="shared" si="26"/>
        <v>0</v>
      </c>
    </row>
    <row r="90" spans="2:13" x14ac:dyDescent="0.35">
      <c r="B90" s="22" t="s">
        <v>110</v>
      </c>
      <c r="C90" s="49">
        <f>'Load Data'!BD25</f>
        <v>0.39423586415635409</v>
      </c>
      <c r="D90" s="26">
        <f t="shared" ref="D90:M91" si="27">D88/(8760/12)/$C90</f>
        <v>2958.754411022117</v>
      </c>
      <c r="E90" s="26">
        <f t="shared" si="27"/>
        <v>7746.2812980535227</v>
      </c>
      <c r="F90" s="26">
        <f t="shared" si="27"/>
        <v>0</v>
      </c>
      <c r="G90" s="26">
        <f t="shared" si="27"/>
        <v>0</v>
      </c>
      <c r="H90" s="26">
        <f t="shared" si="27"/>
        <v>0</v>
      </c>
      <c r="I90" s="26">
        <f t="shared" si="27"/>
        <v>0</v>
      </c>
      <c r="J90" s="26">
        <f t="shared" si="27"/>
        <v>0</v>
      </c>
      <c r="K90" s="26">
        <f t="shared" si="27"/>
        <v>0</v>
      </c>
      <c r="L90" s="26">
        <f t="shared" si="27"/>
        <v>0</v>
      </c>
      <c r="M90" s="26">
        <f t="shared" si="27"/>
        <v>0</v>
      </c>
    </row>
    <row r="91" spans="2:13" x14ac:dyDescent="0.35">
      <c r="B91" s="22" t="s">
        <v>111</v>
      </c>
      <c r="C91" s="49">
        <f>'Load Data'!BG25</f>
        <v>0.39423586415635409</v>
      </c>
      <c r="D91" s="26">
        <f t="shared" si="27"/>
        <v>5917.508822044234</v>
      </c>
      <c r="E91" s="26">
        <f t="shared" si="27"/>
        <v>15492.562596107045</v>
      </c>
      <c r="F91" s="26">
        <f t="shared" si="27"/>
        <v>0</v>
      </c>
      <c r="G91" s="26">
        <f t="shared" si="27"/>
        <v>0</v>
      </c>
      <c r="H91" s="26">
        <f t="shared" si="27"/>
        <v>0</v>
      </c>
      <c r="I91" s="26">
        <f t="shared" si="27"/>
        <v>0</v>
      </c>
      <c r="J91" s="26">
        <f t="shared" si="27"/>
        <v>0</v>
      </c>
      <c r="K91" s="26">
        <f t="shared" si="27"/>
        <v>0</v>
      </c>
      <c r="L91" s="26">
        <f t="shared" si="27"/>
        <v>0</v>
      </c>
      <c r="M91" s="26">
        <f t="shared" si="27"/>
        <v>0</v>
      </c>
    </row>
    <row r="92" spans="2:13" x14ac:dyDescent="0.35">
      <c r="D92" s="50"/>
      <c r="E92" s="50"/>
    </row>
    <row r="93" spans="2:13" x14ac:dyDescent="0.35">
      <c r="B93" s="48" t="s">
        <v>40</v>
      </c>
      <c r="C93" s="48"/>
      <c r="D93" s="51"/>
      <c r="E93" s="51"/>
      <c r="F93" s="48"/>
      <c r="G93" s="48"/>
      <c r="H93" s="48"/>
      <c r="I93" s="48"/>
      <c r="J93" s="48"/>
      <c r="K93" s="48"/>
      <c r="L93" s="48"/>
      <c r="M93" s="48"/>
    </row>
    <row r="95" spans="2:13" x14ac:dyDescent="0.35">
      <c r="B95" s="42" t="s">
        <v>113</v>
      </c>
    </row>
    <row r="96" spans="2:13" x14ac:dyDescent="0.35">
      <c r="B96" s="22" t="s">
        <v>97</v>
      </c>
      <c r="C96" s="49">
        <f>'Load Data'!AE21</f>
        <v>7.1903621441297402E-2</v>
      </c>
      <c r="D96" s="26">
        <f>D$44*$C96*1000</f>
        <v>77952.930141459787</v>
      </c>
      <c r="E96" s="26">
        <f t="shared" ref="D96:M101" si="28">E$44*$C96*1000</f>
        <v>321072.42404561717</v>
      </c>
      <c r="F96" s="26">
        <f t="shared" si="28"/>
        <v>861074.18086385762</v>
      </c>
      <c r="G96" s="26">
        <f t="shared" si="28"/>
        <v>1780444.988343908</v>
      </c>
      <c r="H96" s="26">
        <f t="shared" si="28"/>
        <v>3090682.4323190977</v>
      </c>
      <c r="I96" s="26">
        <f t="shared" si="28"/>
        <v>4971427.1722449064</v>
      </c>
      <c r="J96" s="26">
        <f t="shared" si="28"/>
        <v>7690258.1983839916</v>
      </c>
      <c r="K96" s="26">
        <f t="shared" si="28"/>
        <v>11458801.905674225</v>
      </c>
      <c r="L96" s="26">
        <f t="shared" si="28"/>
        <v>16655850.934835842</v>
      </c>
      <c r="M96" s="26">
        <f t="shared" si="28"/>
        <v>23628898.846248202</v>
      </c>
    </row>
    <row r="97" spans="2:13" x14ac:dyDescent="0.35">
      <c r="B97" s="22" t="s">
        <v>98</v>
      </c>
      <c r="C97" s="49">
        <f>'Load Data'!AE22</f>
        <v>0.22710168524159408</v>
      </c>
      <c r="D97" s="26">
        <f>D$44*$C97*1000</f>
        <v>246207.93014019215</v>
      </c>
      <c r="E97" s="26">
        <f t="shared" si="28"/>
        <v>1014080.8922244975</v>
      </c>
      <c r="F97" s="26">
        <f t="shared" si="28"/>
        <v>2719632.108542081</v>
      </c>
      <c r="G97" s="26">
        <f t="shared" si="28"/>
        <v>5623389.3262658454</v>
      </c>
      <c r="H97" s="26">
        <f t="shared" si="28"/>
        <v>9761666.7263315972</v>
      </c>
      <c r="I97" s="26">
        <f t="shared" si="28"/>
        <v>15701844.58364743</v>
      </c>
      <c r="J97" s="26">
        <f t="shared" si="28"/>
        <v>24289049.171491593</v>
      </c>
      <c r="K97" s="26">
        <f t="shared" si="28"/>
        <v>36191685.084356315</v>
      </c>
      <c r="L97" s="26">
        <f t="shared" si="28"/>
        <v>52606137.780168928</v>
      </c>
      <c r="M97" s="26">
        <f t="shared" si="28"/>
        <v>74629937.14116466</v>
      </c>
    </row>
    <row r="98" spans="2:13" x14ac:dyDescent="0.35">
      <c r="B98" s="22" t="s">
        <v>99</v>
      </c>
      <c r="C98" s="49">
        <f>'Load Data'!AE23</f>
        <v>3.4328026650441323E-2</v>
      </c>
      <c r="D98" s="26">
        <f t="shared" si="28"/>
        <v>37216.070758837966</v>
      </c>
      <c r="E98" s="26">
        <f t="shared" si="28"/>
        <v>153285.50229362232</v>
      </c>
      <c r="F98" s="26">
        <f t="shared" si="28"/>
        <v>411091.6367798468</v>
      </c>
      <c r="G98" s="26">
        <f t="shared" si="28"/>
        <v>850015.08664500935</v>
      </c>
      <c r="H98" s="26">
        <f t="shared" si="28"/>
        <v>1475544.9972894497</v>
      </c>
      <c r="I98" s="26">
        <f t="shared" si="28"/>
        <v>2373444.91193505</v>
      </c>
      <c r="J98" s="26">
        <f t="shared" si="28"/>
        <v>3671461.6467325627</v>
      </c>
      <c r="K98" s="26">
        <f t="shared" si="28"/>
        <v>5470629.2856369242</v>
      </c>
      <c r="L98" s="26">
        <f t="shared" si="28"/>
        <v>7951789.9559984412</v>
      </c>
      <c r="M98" s="26">
        <f t="shared" si="28"/>
        <v>11280843.065419247</v>
      </c>
    </row>
    <row r="99" spans="2:13" x14ac:dyDescent="0.35">
      <c r="B99" s="22" t="s">
        <v>100</v>
      </c>
      <c r="C99" s="49">
        <f>'Load Data'!AH21</f>
        <v>0.16595138025187445</v>
      </c>
      <c r="D99" s="26">
        <f t="shared" si="28"/>
        <v>179913.00149206753</v>
      </c>
      <c r="E99" s="26">
        <f t="shared" si="28"/>
        <v>741025.4290833656</v>
      </c>
      <c r="F99" s="26">
        <f t="shared" si="28"/>
        <v>1987333.1266113063</v>
      </c>
      <c r="G99" s="26">
        <f t="shared" si="28"/>
        <v>4109213.1015880122</v>
      </c>
      <c r="H99" s="26">
        <f t="shared" si="28"/>
        <v>7133201.4338431088</v>
      </c>
      <c r="I99" s="26">
        <f t="shared" si="28"/>
        <v>11473903.323899524</v>
      </c>
      <c r="J99" s="26">
        <f t="shared" si="28"/>
        <v>17748882.976040676</v>
      </c>
      <c r="K99" s="26">
        <f t="shared" si="28"/>
        <v>26446567.699402027</v>
      </c>
      <c r="L99" s="26">
        <f t="shared" si="28"/>
        <v>38441199.434747241</v>
      </c>
      <c r="M99" s="26">
        <f t="shared" si="28"/>
        <v>54534782.793494567</v>
      </c>
    </row>
    <row r="100" spans="2:13" x14ac:dyDescent="0.35">
      <c r="B100" s="22" t="s">
        <v>101</v>
      </c>
      <c r="C100" s="49">
        <f>'Load Data'!AH22</f>
        <v>0.39742794917278967</v>
      </c>
      <c r="D100" s="26">
        <f t="shared" si="28"/>
        <v>430863.87774533633</v>
      </c>
      <c r="E100" s="26">
        <f t="shared" si="28"/>
        <v>1774641.5613928707</v>
      </c>
      <c r="F100" s="26">
        <f t="shared" si="28"/>
        <v>4759356.1899486426</v>
      </c>
      <c r="G100" s="26">
        <f t="shared" si="28"/>
        <v>9840931.3209652305</v>
      </c>
      <c r="H100" s="26">
        <f t="shared" si="28"/>
        <v>17082916.771080296</v>
      </c>
      <c r="I100" s="26">
        <f t="shared" si="28"/>
        <v>27478228.021383006</v>
      </c>
      <c r="J100" s="26">
        <f t="shared" si="28"/>
        <v>42505836.050110288</v>
      </c>
      <c r="K100" s="26">
        <f t="shared" si="28"/>
        <v>63335448.897623569</v>
      </c>
      <c r="L100" s="26">
        <f t="shared" si="28"/>
        <v>92060741.115295634</v>
      </c>
      <c r="M100" s="26">
        <f t="shared" si="28"/>
        <v>130602389.99703817</v>
      </c>
    </row>
    <row r="101" spans="2:13" x14ac:dyDescent="0.35">
      <c r="B101" s="22" t="s">
        <v>102</v>
      </c>
      <c r="C101" s="49">
        <f>'Load Data'!AH23</f>
        <v>0.10328733724200179</v>
      </c>
      <c r="D101" s="26">
        <f t="shared" si="28"/>
        <v>111976.98284357629</v>
      </c>
      <c r="E101" s="26">
        <f t="shared" si="28"/>
        <v>461210.64665123896</v>
      </c>
      <c r="F101" s="26">
        <f t="shared" si="28"/>
        <v>1236906.5358116257</v>
      </c>
      <c r="G101" s="26">
        <f t="shared" si="28"/>
        <v>2557554.3799562897</v>
      </c>
      <c r="H101" s="26">
        <f t="shared" si="28"/>
        <v>4439670.1069568954</v>
      </c>
      <c r="I101" s="26">
        <f t="shared" si="28"/>
        <v>7141301.9903722648</v>
      </c>
      <c r="J101" s="26">
        <f t="shared" si="28"/>
        <v>11046819.00706536</v>
      </c>
      <c r="K101" s="26">
        <f t="shared" si="28"/>
        <v>16460215.954309395</v>
      </c>
      <c r="L101" s="26">
        <f t="shared" si="28"/>
        <v>23925616.791963618</v>
      </c>
      <c r="M101" s="26">
        <f t="shared" si="28"/>
        <v>33942185.315131582</v>
      </c>
    </row>
    <row r="102" spans="2:13" s="185" customFormat="1" x14ac:dyDescent="0.35">
      <c r="B102" s="182" t="s">
        <v>110</v>
      </c>
      <c r="C102" s="183">
        <f>'Load Data'!AE25</f>
        <v>0.59760431986116525</v>
      </c>
      <c r="D102" s="184">
        <f t="shared" ref="D102" si="29">SUM(D96:D98)/(8760/12)/$C102</f>
        <v>828.36899832199003</v>
      </c>
      <c r="E102" s="184">
        <f t="shared" ref="E102" si="30">SUM(E96:E98)/(8760/12)/$C102</f>
        <v>3411.8851185303301</v>
      </c>
      <c r="F102" s="184">
        <f t="shared" ref="F102:M102" si="31">SUM(F96:F98)/(8760/12)/$C102</f>
        <v>9150.2289315966991</v>
      </c>
      <c r="G102" s="184">
        <f t="shared" si="31"/>
        <v>18919.948600847176</v>
      </c>
      <c r="H102" s="184">
        <f t="shared" si="31"/>
        <v>32843.223544587054</v>
      </c>
      <c r="I102" s="184">
        <f t="shared" si="31"/>
        <v>52829.010268505051</v>
      </c>
      <c r="J102" s="184">
        <f t="shared" si="31"/>
        <v>81720.744416824615</v>
      </c>
      <c r="K102" s="184">
        <f t="shared" si="31"/>
        <v>121767.27981037139</v>
      </c>
      <c r="L102" s="184">
        <f t="shared" si="31"/>
        <v>176993.86706892005</v>
      </c>
      <c r="M102" s="184">
        <f t="shared" si="31"/>
        <v>251093.15625722677</v>
      </c>
    </row>
    <row r="103" spans="2:13" s="185" customFormat="1" x14ac:dyDescent="0.35">
      <c r="B103" s="182" t="s">
        <v>111</v>
      </c>
      <c r="C103" s="183">
        <f>'Load Data'!AH25</f>
        <v>0.59760431986116536</v>
      </c>
      <c r="D103" s="184">
        <f t="shared" ref="D103:M103" si="32">SUM(D99:D101)/(8760/12)/$C103</f>
        <v>1656.7379966439803</v>
      </c>
      <c r="E103" s="184">
        <f t="shared" si="32"/>
        <v>6823.7702370606621</v>
      </c>
      <c r="F103" s="184">
        <f t="shared" si="32"/>
        <v>18300.457863193402</v>
      </c>
      <c r="G103" s="184">
        <f t="shared" si="32"/>
        <v>37839.897201694366</v>
      </c>
      <c r="H103" s="184">
        <f t="shared" si="32"/>
        <v>65686.447089174122</v>
      </c>
      <c r="I103" s="184">
        <f t="shared" si="32"/>
        <v>105658.02053701013</v>
      </c>
      <c r="J103" s="184">
        <f t="shared" si="32"/>
        <v>163441.48883364923</v>
      </c>
      <c r="K103" s="184">
        <f t="shared" si="32"/>
        <v>243534.55962074283</v>
      </c>
      <c r="L103" s="184">
        <f t="shared" si="32"/>
        <v>353987.73413784016</v>
      </c>
      <c r="M103" s="184">
        <f t="shared" si="32"/>
        <v>502186.31251445366</v>
      </c>
    </row>
    <row r="104" spans="2:13" x14ac:dyDescent="0.35">
      <c r="D104" s="50"/>
      <c r="E104" s="50"/>
    </row>
    <row r="105" spans="2:13" x14ac:dyDescent="0.35">
      <c r="D105" s="50"/>
      <c r="E105" s="50"/>
    </row>
    <row r="106" spans="2:13" x14ac:dyDescent="0.35">
      <c r="B106" s="20" t="s">
        <v>114</v>
      </c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</row>
    <row r="108" spans="2:13" x14ac:dyDescent="0.35">
      <c r="B108" s="48" t="s">
        <v>35</v>
      </c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</row>
    <row r="110" spans="2:13" x14ac:dyDescent="0.35">
      <c r="B110" s="42" t="s">
        <v>96</v>
      </c>
    </row>
    <row r="111" spans="2:13" x14ac:dyDescent="0.35">
      <c r="B111" s="22" t="s">
        <v>115</v>
      </c>
      <c r="C111" s="49"/>
      <c r="D111" s="13">
        <f>D53*Rates!C23</f>
        <v>9655.342405438987</v>
      </c>
      <c r="E111" s="13">
        <f>E53*Rates!D23</f>
        <v>108886.03968504423</v>
      </c>
      <c r="F111" s="13">
        <f>F53*Rates!E23</f>
        <v>522582.2872597762</v>
      </c>
      <c r="G111" s="13">
        <f>G53*Rates!F23</f>
        <v>2023482.2948551616</v>
      </c>
      <c r="H111" s="13">
        <f>H53*Rates!G23</f>
        <v>2885411.7299215454</v>
      </c>
      <c r="I111" s="13">
        <f>I53*Rates!H23</f>
        <v>3932206.8164762408</v>
      </c>
      <c r="J111" s="13">
        <f>J53*Rates!I23</f>
        <v>5268450.8345617969</v>
      </c>
      <c r="K111" s="13">
        <f>K53*Rates!J23</f>
        <v>6912383.4168838169</v>
      </c>
      <c r="L111" s="13">
        <f>L53*Rates!K23</f>
        <v>8960410.8753554858</v>
      </c>
      <c r="M111" s="13">
        <f>M53*Rates!L23</f>
        <v>11451102.224376036</v>
      </c>
    </row>
    <row r="112" spans="2:13" x14ac:dyDescent="0.35">
      <c r="B112" s="22" t="s">
        <v>116</v>
      </c>
      <c r="C112" s="49"/>
      <c r="D112" s="13">
        <f>D54*Rates!C24</f>
        <v>27019.535560934502</v>
      </c>
      <c r="E112" s="13">
        <f>E54*Rates!D24</f>
        <v>306350.50872463227</v>
      </c>
      <c r="F112" s="13">
        <f>F54*Rates!E24</f>
        <v>1563445.1218884678</v>
      </c>
      <c r="G112" s="13">
        <f>G54*Rates!F24</f>
        <v>3444823.6070061726</v>
      </c>
      <c r="H112" s="13">
        <f>H54*Rates!G24</f>
        <v>4912192.4458833635</v>
      </c>
      <c r="I112" s="13">
        <f>I54*Rates!H24</f>
        <v>6694280.8955971273</v>
      </c>
      <c r="J112" s="13">
        <f>J54*Rates!I24</f>
        <v>8969133.9792765174</v>
      </c>
      <c r="K112" s="13">
        <f>K54*Rates!J24</f>
        <v>11767803.274435766</v>
      </c>
      <c r="L112" s="13">
        <f>L54*Rates!K24</f>
        <v>15254413.142324453</v>
      </c>
      <c r="M112" s="13">
        <f>M54*Rates!L24</f>
        <v>19494624.375547122</v>
      </c>
    </row>
    <row r="113" spans="2:13" x14ac:dyDescent="0.35">
      <c r="B113" s="22" t="s">
        <v>117</v>
      </c>
      <c r="C113" s="49"/>
      <c r="D113" s="13">
        <f>D55*Rates!C25</f>
        <v>9931.5576695952914</v>
      </c>
      <c r="E113" s="13">
        <f>E55*Rates!D25</f>
        <v>114107.84009395084</v>
      </c>
      <c r="F113" s="13">
        <f>F55*Rates!E25</f>
        <v>668096.29534663702</v>
      </c>
      <c r="G113" s="13">
        <f>G55*Rates!F25</f>
        <v>863562.54362129606</v>
      </c>
      <c r="H113" s="13">
        <f>H55*Rates!G25</f>
        <v>1231408.5965670033</v>
      </c>
      <c r="I113" s="13">
        <f>I55*Rates!H25</f>
        <v>1678149.8553829854</v>
      </c>
      <c r="J113" s="13">
        <f>J55*Rates!I25</f>
        <v>2248419.3784179282</v>
      </c>
      <c r="K113" s="13">
        <f>K55*Rates!J25</f>
        <v>2950001.3027774622</v>
      </c>
      <c r="L113" s="13">
        <f>L55*Rates!K25</f>
        <v>3824038.9980618907</v>
      </c>
      <c r="M113" s="13">
        <f>M55*Rates!L25</f>
        <v>4886992.5816956442</v>
      </c>
    </row>
    <row r="114" spans="2:13" x14ac:dyDescent="0.35">
      <c r="B114" s="22" t="s">
        <v>118</v>
      </c>
      <c r="C114" s="49"/>
      <c r="D114" s="13">
        <f>D56*Rates!C26</f>
        <v>12655.870246120583</v>
      </c>
      <c r="E114" s="13">
        <f>E56*Rates!D26</f>
        <v>141524.65042610854</v>
      </c>
      <c r="F114" s="13">
        <f>F56*Rates!E26</f>
        <v>733967.57810784597</v>
      </c>
      <c r="G114" s="13">
        <f>G56*Rates!F26</f>
        <v>3628183.373259868</v>
      </c>
      <c r="H114" s="13">
        <f>H56*Rates!G26</f>
        <v>5173656.7649383303</v>
      </c>
      <c r="I114" s="13">
        <f>I56*Rates!H26</f>
        <v>7050601.5437013814</v>
      </c>
      <c r="J114" s="13">
        <f>J56*Rates!I26</f>
        <v>9446539.6457360219</v>
      </c>
      <c r="K114" s="13">
        <f>K56*Rates!J26</f>
        <v>12394175.450163877</v>
      </c>
      <c r="L114" s="13">
        <f>L56*Rates!K26</f>
        <v>16066369.267574295</v>
      </c>
      <c r="M114" s="13">
        <f>M56*Rates!L26</f>
        <v>20532276.858372066</v>
      </c>
    </row>
    <row r="115" spans="2:13" x14ac:dyDescent="0.35">
      <c r="B115" s="22" t="s">
        <v>119</v>
      </c>
      <c r="C115" s="49"/>
      <c r="D115" s="13">
        <f>D57*Rates!C27</f>
        <v>37171.259897960153</v>
      </c>
      <c r="E115" s="13">
        <f>E57*Rates!D27</f>
        <v>418865.98119812988</v>
      </c>
      <c r="F115" s="13">
        <f>F57*Rates!E27</f>
        <v>2279707.620705598</v>
      </c>
      <c r="G115" s="13">
        <f>G57*Rates!F27</f>
        <v>5554577.2365891999</v>
      </c>
      <c r="H115" s="13">
        <f>H57*Rates!G27</f>
        <v>7920623.9431696599</v>
      </c>
      <c r="I115" s="13">
        <f>I57*Rates!H27</f>
        <v>10794137.674391275</v>
      </c>
      <c r="J115" s="13">
        <f>J57*Rates!I27</f>
        <v>14462205.650206106</v>
      </c>
      <c r="K115" s="13">
        <f>K57*Rates!J27</f>
        <v>18974896.729080513</v>
      </c>
      <c r="L115" s="13">
        <f>L57*Rates!K27</f>
        <v>24596851.875246312</v>
      </c>
      <c r="M115" s="13">
        <f>M57*Rates!L27</f>
        <v>31433945.288820993</v>
      </c>
    </row>
    <row r="116" spans="2:13" x14ac:dyDescent="0.35">
      <c r="B116" s="22" t="s">
        <v>120</v>
      </c>
      <c r="C116" s="49"/>
      <c r="D116" s="13">
        <f>D58*Rates!C28</f>
        <v>22777.773306753676</v>
      </c>
      <c r="E116" s="13">
        <f>E58*Rates!D28</f>
        <v>259820.46913967855</v>
      </c>
      <c r="F116" s="13">
        <f>F58*Rates!E28</f>
        <v>1521237.2151161828</v>
      </c>
      <c r="G116" s="13">
        <f>G58*Rates!F28</f>
        <v>1966308.581692572</v>
      </c>
      <c r="H116" s="13">
        <f>H58*Rates!G28</f>
        <v>2803884.1064666957</v>
      </c>
      <c r="I116" s="13">
        <f>I58*Rates!H28</f>
        <v>3821101.8835629113</v>
      </c>
      <c r="J116" s="13">
        <f>J58*Rates!I28</f>
        <v>5119590.1810278837</v>
      </c>
      <c r="K116" s="13">
        <f>K58*Rates!J28</f>
        <v>6717073.2687537372</v>
      </c>
      <c r="L116" s="13">
        <f>L58*Rates!K28</f>
        <v>8707233.487785019</v>
      </c>
      <c r="M116" s="13">
        <f>M58*Rates!L28</f>
        <v>11127550.080808194</v>
      </c>
    </row>
    <row r="117" spans="2:13" x14ac:dyDescent="0.35">
      <c r="B117" s="22"/>
      <c r="C117" s="49"/>
      <c r="D117" s="26"/>
      <c r="E117" s="26"/>
      <c r="F117" s="26"/>
      <c r="G117" s="26"/>
      <c r="H117" s="26"/>
      <c r="I117" s="26"/>
      <c r="J117" s="26"/>
      <c r="K117" s="26"/>
      <c r="L117" s="26"/>
      <c r="M117" s="26"/>
    </row>
    <row r="118" spans="2:13" x14ac:dyDescent="0.35">
      <c r="B118" s="42" t="s">
        <v>103</v>
      </c>
    </row>
    <row r="119" spans="2:13" x14ac:dyDescent="0.35">
      <c r="B119" s="22" t="s">
        <v>121</v>
      </c>
      <c r="C119" s="49"/>
      <c r="D119" s="13">
        <f>D61*Rates!C47</f>
        <v>850387.46147809923</v>
      </c>
      <c r="E119" s="13">
        <f>E61*Rates!D47</f>
        <v>2037717.7077120447</v>
      </c>
      <c r="F119" s="13">
        <f>F61*Rates!E47</f>
        <v>2324246.1113974755</v>
      </c>
      <c r="G119" s="13">
        <f>G61*Rates!F47</f>
        <v>0</v>
      </c>
      <c r="H119" s="13">
        <f>H61*Rates!G47</f>
        <v>0</v>
      </c>
      <c r="I119" s="13">
        <f>I61*Rates!H47</f>
        <v>0</v>
      </c>
      <c r="J119" s="13">
        <f>J61*Rates!I47</f>
        <v>0</v>
      </c>
      <c r="K119" s="13">
        <f>K61*Rates!J47</f>
        <v>0</v>
      </c>
      <c r="L119" s="13">
        <f>L61*Rates!K47</f>
        <v>0</v>
      </c>
      <c r="M119" s="13">
        <f>M61*Rates!L47</f>
        <v>0</v>
      </c>
    </row>
    <row r="120" spans="2:13" x14ac:dyDescent="0.35">
      <c r="B120" s="22" t="s">
        <v>122</v>
      </c>
      <c r="C120" s="49"/>
      <c r="D120" s="13">
        <f>D62*Rates!C48</f>
        <v>1458183.9756734511</v>
      </c>
      <c r="E120" s="13">
        <f>E62*Rates!D48</f>
        <v>3712757.2004663274</v>
      </c>
      <c r="F120" s="13">
        <f>F62*Rates!E48</f>
        <v>4197049.8735261625</v>
      </c>
      <c r="G120" s="13">
        <f>G62*Rates!F48</f>
        <v>0</v>
      </c>
      <c r="H120" s="13">
        <f>H62*Rates!G48</f>
        <v>0</v>
      </c>
      <c r="I120" s="13">
        <f>I62*Rates!H48</f>
        <v>0</v>
      </c>
      <c r="J120" s="13">
        <f>J62*Rates!I48</f>
        <v>0</v>
      </c>
      <c r="K120" s="13">
        <f>K62*Rates!J48</f>
        <v>0</v>
      </c>
      <c r="L120" s="13">
        <f>L62*Rates!K48</f>
        <v>0</v>
      </c>
      <c r="M120" s="13">
        <f>M62*Rates!L48</f>
        <v>0</v>
      </c>
    </row>
    <row r="122" spans="2:13" s="2" customFormat="1" x14ac:dyDescent="0.35">
      <c r="B122" s="24" t="s">
        <v>65</v>
      </c>
      <c r="D122" s="37">
        <f t="shared" ref="D122:M122" si="33">SUM(D111:D116,D119:D120)</f>
        <v>2427782.7762383535</v>
      </c>
      <c r="E122" s="37">
        <f t="shared" si="33"/>
        <v>7100030.3974459162</v>
      </c>
      <c r="F122" s="37">
        <f t="shared" si="33"/>
        <v>13810332.103348143</v>
      </c>
      <c r="G122" s="37">
        <f t="shared" si="33"/>
        <v>17480937.637024272</v>
      </c>
      <c r="H122" s="37">
        <f t="shared" si="33"/>
        <v>24927177.586946599</v>
      </c>
      <c r="I122" s="37">
        <f t="shared" si="33"/>
        <v>33970478.669111922</v>
      </c>
      <c r="J122" s="37">
        <f t="shared" si="33"/>
        <v>45514339.669226252</v>
      </c>
      <c r="K122" s="37">
        <f t="shared" si="33"/>
        <v>59716333.442095175</v>
      </c>
      <c r="L122" s="37">
        <f t="shared" si="33"/>
        <v>77409317.646347463</v>
      </c>
      <c r="M122" s="37">
        <f t="shared" si="33"/>
        <v>98926491.409620062</v>
      </c>
    </row>
    <row r="124" spans="2:13" x14ac:dyDescent="0.35">
      <c r="B124" s="48" t="s">
        <v>39</v>
      </c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</row>
    <row r="126" spans="2:13" x14ac:dyDescent="0.35">
      <c r="B126" s="42" t="s">
        <v>106</v>
      </c>
    </row>
    <row r="127" spans="2:13" x14ac:dyDescent="0.35">
      <c r="B127" s="22" t="s">
        <v>115</v>
      </c>
      <c r="C127" s="49"/>
      <c r="D127" s="13">
        <f>D67*Rates!C70</f>
        <v>0</v>
      </c>
      <c r="E127" s="13">
        <f>E67*Rates!D70</f>
        <v>0</v>
      </c>
      <c r="F127" s="13">
        <f>F67*Rates!E70</f>
        <v>0</v>
      </c>
      <c r="G127" s="13">
        <f>G67*Rates!F70</f>
        <v>0</v>
      </c>
      <c r="H127" s="13">
        <f>H67*Rates!G70</f>
        <v>0</v>
      </c>
      <c r="I127" s="13">
        <f>I67*Rates!H70</f>
        <v>0</v>
      </c>
      <c r="J127" s="13">
        <f>J67*Rates!I70</f>
        <v>0</v>
      </c>
      <c r="K127" s="13">
        <f>K67*Rates!J70</f>
        <v>0</v>
      </c>
      <c r="L127" s="13">
        <f>L67*Rates!K70</f>
        <v>0</v>
      </c>
      <c r="M127" s="13">
        <f>M67*Rates!L70</f>
        <v>0</v>
      </c>
    </row>
    <row r="128" spans="2:13" x14ac:dyDescent="0.35">
      <c r="B128" s="22" t="s">
        <v>116</v>
      </c>
      <c r="C128" s="49"/>
      <c r="D128" s="13">
        <f>D68*Rates!C71</f>
        <v>0</v>
      </c>
      <c r="E128" s="13">
        <f>E68*Rates!D71</f>
        <v>0</v>
      </c>
      <c r="F128" s="13">
        <f>F68*Rates!E71</f>
        <v>0</v>
      </c>
      <c r="G128" s="13">
        <f>G68*Rates!F71</f>
        <v>0</v>
      </c>
      <c r="H128" s="13">
        <f>H68*Rates!G71</f>
        <v>0</v>
      </c>
      <c r="I128" s="13">
        <f>I68*Rates!H71</f>
        <v>0</v>
      </c>
      <c r="J128" s="13">
        <f>J68*Rates!I71</f>
        <v>0</v>
      </c>
      <c r="K128" s="13">
        <f>K68*Rates!J71</f>
        <v>0</v>
      </c>
      <c r="L128" s="13">
        <f>L68*Rates!K71</f>
        <v>0</v>
      </c>
      <c r="M128" s="13">
        <f>M68*Rates!L71</f>
        <v>0</v>
      </c>
    </row>
    <row r="129" spans="2:13" x14ac:dyDescent="0.35">
      <c r="B129" s="22" t="s">
        <v>117</v>
      </c>
      <c r="C129" s="49"/>
      <c r="D129" s="13">
        <f>D69*Rates!C72</f>
        <v>0</v>
      </c>
      <c r="E129" s="13">
        <f>E69*Rates!D72</f>
        <v>0</v>
      </c>
      <c r="F129" s="13">
        <f>F69*Rates!E72</f>
        <v>0</v>
      </c>
      <c r="G129" s="13">
        <f>G69*Rates!F72</f>
        <v>0</v>
      </c>
      <c r="H129" s="13">
        <f>H69*Rates!G72</f>
        <v>0</v>
      </c>
      <c r="I129" s="13">
        <f>I69*Rates!H72</f>
        <v>0</v>
      </c>
      <c r="J129" s="13">
        <f>J69*Rates!I72</f>
        <v>0</v>
      </c>
      <c r="K129" s="13">
        <f>K69*Rates!J72</f>
        <v>0</v>
      </c>
      <c r="L129" s="13">
        <f>L69*Rates!K72</f>
        <v>0</v>
      </c>
      <c r="M129" s="13">
        <f>M69*Rates!L72</f>
        <v>0</v>
      </c>
    </row>
    <row r="130" spans="2:13" x14ac:dyDescent="0.35">
      <c r="B130" s="22" t="s">
        <v>118</v>
      </c>
      <c r="C130" s="49"/>
      <c r="D130" s="13">
        <f>D70*Rates!C73</f>
        <v>0</v>
      </c>
      <c r="E130" s="13">
        <f>E70*Rates!D73</f>
        <v>0</v>
      </c>
      <c r="F130" s="13">
        <f>F70*Rates!E73</f>
        <v>0</v>
      </c>
      <c r="G130" s="13">
        <f>G70*Rates!F73</f>
        <v>0</v>
      </c>
      <c r="H130" s="13">
        <f>H70*Rates!G73</f>
        <v>0</v>
      </c>
      <c r="I130" s="13">
        <f>I70*Rates!H73</f>
        <v>0</v>
      </c>
      <c r="J130" s="13">
        <f>J70*Rates!I73</f>
        <v>0</v>
      </c>
      <c r="K130" s="13">
        <f>K70*Rates!J73</f>
        <v>0</v>
      </c>
      <c r="L130" s="13">
        <f>L70*Rates!K73</f>
        <v>0</v>
      </c>
      <c r="M130" s="13">
        <f>M70*Rates!L73</f>
        <v>0</v>
      </c>
    </row>
    <row r="131" spans="2:13" x14ac:dyDescent="0.35">
      <c r="B131" s="22" t="s">
        <v>119</v>
      </c>
      <c r="C131" s="49"/>
      <c r="D131" s="13">
        <f>D71*Rates!C74</f>
        <v>0</v>
      </c>
      <c r="E131" s="13">
        <f>E71*Rates!D74</f>
        <v>0</v>
      </c>
      <c r="F131" s="13">
        <f>F71*Rates!E74</f>
        <v>0</v>
      </c>
      <c r="G131" s="13">
        <f>G71*Rates!F74</f>
        <v>0</v>
      </c>
      <c r="H131" s="13">
        <f>H71*Rates!G74</f>
        <v>0</v>
      </c>
      <c r="I131" s="13">
        <f>I71*Rates!H74</f>
        <v>0</v>
      </c>
      <c r="J131" s="13">
        <f>J71*Rates!I74</f>
        <v>0</v>
      </c>
      <c r="K131" s="13">
        <f>K71*Rates!J74</f>
        <v>0</v>
      </c>
      <c r="L131" s="13">
        <f>L71*Rates!K74</f>
        <v>0</v>
      </c>
      <c r="M131" s="13">
        <f>M71*Rates!L74</f>
        <v>0</v>
      </c>
    </row>
    <row r="132" spans="2:13" x14ac:dyDescent="0.35">
      <c r="B132" s="22" t="s">
        <v>120</v>
      </c>
      <c r="C132" s="49"/>
      <c r="D132" s="13">
        <f>D72*Rates!C75</f>
        <v>0</v>
      </c>
      <c r="E132" s="13">
        <f>E72*Rates!D75</f>
        <v>0</v>
      </c>
      <c r="F132" s="13">
        <f>F72*Rates!E75</f>
        <v>0</v>
      </c>
      <c r="G132" s="13">
        <f>G72*Rates!F75</f>
        <v>0</v>
      </c>
      <c r="H132" s="13">
        <f>H72*Rates!G75</f>
        <v>0</v>
      </c>
      <c r="I132" s="13">
        <f>I72*Rates!H75</f>
        <v>0</v>
      </c>
      <c r="J132" s="13">
        <f>J72*Rates!I75</f>
        <v>0</v>
      </c>
      <c r="K132" s="13">
        <f>K72*Rates!J75</f>
        <v>0</v>
      </c>
      <c r="L132" s="13">
        <f>L72*Rates!K75</f>
        <v>0</v>
      </c>
      <c r="M132" s="13">
        <f>M72*Rates!L75</f>
        <v>0</v>
      </c>
    </row>
    <row r="134" spans="2:13" x14ac:dyDescent="0.35">
      <c r="B134" s="42" t="s">
        <v>107</v>
      </c>
    </row>
    <row r="135" spans="2:13" x14ac:dyDescent="0.35">
      <c r="B135" s="22" t="s">
        <v>121</v>
      </c>
      <c r="C135" s="49"/>
      <c r="D135" s="13">
        <f>D75*Rates!C93</f>
        <v>68806.271606345719</v>
      </c>
      <c r="E135" s="13">
        <f>E75*Rates!D93</f>
        <v>158977.38590904122</v>
      </c>
      <c r="F135" s="13">
        <f>F75*Rates!E93</f>
        <v>895892.08850820339</v>
      </c>
      <c r="G135" s="13">
        <f>G75*Rates!F93</f>
        <v>1199762.8477623037</v>
      </c>
      <c r="H135" s="13">
        <f>H75*Rates!G93</f>
        <v>1647176.0587441712</v>
      </c>
      <c r="I135" s="13">
        <f>I75*Rates!H93</f>
        <v>2153893.3498730352</v>
      </c>
      <c r="J135" s="13">
        <f>J75*Rates!I93</f>
        <v>2758157.1683461759</v>
      </c>
      <c r="K135" s="13">
        <f>K75*Rates!J93</f>
        <v>3442908.9430044433</v>
      </c>
      <c r="L135" s="13">
        <f>L75*Rates!K93</f>
        <v>4223299.8224312719</v>
      </c>
      <c r="M135" s="13">
        <f>M75*Rates!L93</f>
        <v>5074803.3741476834</v>
      </c>
    </row>
    <row r="136" spans="2:13" x14ac:dyDescent="0.35">
      <c r="B136" s="22" t="s">
        <v>122</v>
      </c>
      <c r="C136" s="49"/>
      <c r="D136" s="13">
        <f>D76*Rates!C94</f>
        <v>96362.267557533953</v>
      </c>
      <c r="E136" s="13">
        <f>E76*Rates!D94</f>
        <v>238112.76444072358</v>
      </c>
      <c r="F136" s="13">
        <f>F76*Rates!E94</f>
        <v>1346214.7499612002</v>
      </c>
      <c r="G136" s="13">
        <f>G76*Rates!F94</f>
        <v>2073067.3524975574</v>
      </c>
      <c r="H136" s="13">
        <f>H76*Rates!G94</f>
        <v>2846151.5686762291</v>
      </c>
      <c r="I136" s="13">
        <f>I76*Rates!H94</f>
        <v>3721707.1629709485</v>
      </c>
      <c r="J136" s="13">
        <f>J76*Rates!I94</f>
        <v>4765813.1683440693</v>
      </c>
      <c r="K136" s="13">
        <f>K76*Rates!J94</f>
        <v>5948994.120526759</v>
      </c>
      <c r="L136" s="13">
        <f>L76*Rates!K94</f>
        <v>7297429.6528855134</v>
      </c>
      <c r="M136" s="13">
        <f>M76*Rates!L94</f>
        <v>8768740.6014545187</v>
      </c>
    </row>
    <row r="138" spans="2:13" x14ac:dyDescent="0.35">
      <c r="B138" s="42" t="s">
        <v>108</v>
      </c>
    </row>
    <row r="139" spans="2:13" x14ac:dyDescent="0.35">
      <c r="B139" s="22" t="s">
        <v>115</v>
      </c>
      <c r="C139" s="49"/>
      <c r="D139" s="13">
        <f>D79*Rates!C117</f>
        <v>0</v>
      </c>
      <c r="E139" s="13">
        <f>E79*Rates!D117</f>
        <v>0</v>
      </c>
      <c r="F139" s="13">
        <f>F79*Rates!E117</f>
        <v>0</v>
      </c>
      <c r="G139" s="13">
        <f>G79*Rates!F117</f>
        <v>0</v>
      </c>
      <c r="H139" s="13">
        <f>H79*Rates!G117</f>
        <v>0</v>
      </c>
      <c r="I139" s="13">
        <f>I79*Rates!H117</f>
        <v>0</v>
      </c>
      <c r="J139" s="13">
        <f>J79*Rates!I117</f>
        <v>0</v>
      </c>
      <c r="K139" s="13">
        <f>K79*Rates!J117</f>
        <v>0</v>
      </c>
      <c r="L139" s="13">
        <f>L79*Rates!K117</f>
        <v>0</v>
      </c>
      <c r="M139" s="13">
        <f>M79*Rates!L117</f>
        <v>0</v>
      </c>
    </row>
    <row r="140" spans="2:13" x14ac:dyDescent="0.35">
      <c r="B140" s="22" t="s">
        <v>117</v>
      </c>
      <c r="C140" s="49"/>
      <c r="D140" s="13">
        <f>D80*Rates!C118</f>
        <v>0</v>
      </c>
      <c r="E140" s="13">
        <f>E80*Rates!D118</f>
        <v>0</v>
      </c>
      <c r="F140" s="13">
        <f>F80*Rates!E118</f>
        <v>0</v>
      </c>
      <c r="G140" s="13">
        <f>G80*Rates!F118</f>
        <v>0</v>
      </c>
      <c r="H140" s="13">
        <f>H80*Rates!G118</f>
        <v>0</v>
      </c>
      <c r="I140" s="13">
        <f>I80*Rates!H118</f>
        <v>0</v>
      </c>
      <c r="J140" s="13">
        <f>J80*Rates!I118</f>
        <v>0</v>
      </c>
      <c r="K140" s="13">
        <f>K80*Rates!J118</f>
        <v>0</v>
      </c>
      <c r="L140" s="13">
        <f>L80*Rates!K118</f>
        <v>0</v>
      </c>
      <c r="M140" s="13">
        <f>M80*Rates!L118</f>
        <v>0</v>
      </c>
    </row>
    <row r="141" spans="2:13" x14ac:dyDescent="0.35">
      <c r="B141" s="22" t="s">
        <v>118</v>
      </c>
      <c r="C141" s="49"/>
      <c r="D141" s="13">
        <f>D81*Rates!C119</f>
        <v>0</v>
      </c>
      <c r="E141" s="13">
        <f>E81*Rates!D119</f>
        <v>0</v>
      </c>
      <c r="F141" s="13">
        <f>F81*Rates!E119</f>
        <v>0</v>
      </c>
      <c r="G141" s="13">
        <f>G81*Rates!F119</f>
        <v>0</v>
      </c>
      <c r="H141" s="13">
        <f>H81*Rates!G119</f>
        <v>0</v>
      </c>
      <c r="I141" s="13">
        <f>I81*Rates!H119</f>
        <v>0</v>
      </c>
      <c r="J141" s="13">
        <f>J81*Rates!I119</f>
        <v>0</v>
      </c>
      <c r="K141" s="13">
        <f>K81*Rates!J119</f>
        <v>0</v>
      </c>
      <c r="L141" s="13">
        <f>L81*Rates!K119</f>
        <v>0</v>
      </c>
      <c r="M141" s="13">
        <f>M81*Rates!L119</f>
        <v>0</v>
      </c>
    </row>
    <row r="142" spans="2:13" x14ac:dyDescent="0.35">
      <c r="B142" s="22" t="s">
        <v>120</v>
      </c>
      <c r="C142" s="49"/>
      <c r="D142" s="13">
        <f>D82*Rates!C120</f>
        <v>0</v>
      </c>
      <c r="E142" s="13">
        <f>E82*Rates!D120</f>
        <v>0</v>
      </c>
      <c r="F142" s="13">
        <f>F82*Rates!E120</f>
        <v>0</v>
      </c>
      <c r="G142" s="13">
        <f>G82*Rates!F120</f>
        <v>0</v>
      </c>
      <c r="H142" s="13">
        <f>H82*Rates!G120</f>
        <v>0</v>
      </c>
      <c r="I142" s="13">
        <f>I82*Rates!H120</f>
        <v>0</v>
      </c>
      <c r="J142" s="13">
        <f>J82*Rates!I120</f>
        <v>0</v>
      </c>
      <c r="K142" s="13">
        <f>K82*Rates!J120</f>
        <v>0</v>
      </c>
      <c r="L142" s="13">
        <f>L82*Rates!K120</f>
        <v>0</v>
      </c>
      <c r="M142" s="13">
        <f>M82*Rates!L120</f>
        <v>0</v>
      </c>
    </row>
    <row r="143" spans="2:13" x14ac:dyDescent="0.35">
      <c r="B143" s="22" t="s">
        <v>123</v>
      </c>
      <c r="C143" s="49"/>
      <c r="D143" s="13">
        <f>D83*Rates!C121</f>
        <v>0</v>
      </c>
      <c r="E143" s="13">
        <f>E83*Rates!D121</f>
        <v>0</v>
      </c>
      <c r="F143" s="13">
        <f>F83*Rates!E121</f>
        <v>0</v>
      </c>
      <c r="G143" s="13">
        <f>G83*Rates!F121</f>
        <v>0</v>
      </c>
      <c r="H143" s="13">
        <f>H83*Rates!G121</f>
        <v>0</v>
      </c>
      <c r="I143" s="13">
        <f>I83*Rates!H121</f>
        <v>0</v>
      </c>
      <c r="J143" s="13">
        <f>J83*Rates!I121</f>
        <v>0</v>
      </c>
      <c r="K143" s="13">
        <f>K83*Rates!J121</f>
        <v>0</v>
      </c>
      <c r="L143" s="13">
        <f>L83*Rates!K121</f>
        <v>0</v>
      </c>
      <c r="M143" s="13">
        <f>M83*Rates!L121</f>
        <v>0</v>
      </c>
    </row>
    <row r="144" spans="2:13" x14ac:dyDescent="0.35">
      <c r="B144" s="22" t="s">
        <v>124</v>
      </c>
      <c r="C144" s="49"/>
      <c r="D144" s="13">
        <f>D84*Rates!C122</f>
        <v>0</v>
      </c>
      <c r="E144" s="13">
        <f>E84*Rates!D122</f>
        <v>0</v>
      </c>
      <c r="F144" s="13">
        <f>F84*Rates!E122</f>
        <v>0</v>
      </c>
      <c r="G144" s="13">
        <f>G84*Rates!F122</f>
        <v>0</v>
      </c>
      <c r="H144" s="13">
        <f>H84*Rates!G122</f>
        <v>0</v>
      </c>
      <c r="I144" s="13">
        <f>I84*Rates!H122</f>
        <v>0</v>
      </c>
      <c r="J144" s="13">
        <f>J84*Rates!I122</f>
        <v>0</v>
      </c>
      <c r="K144" s="13">
        <f>K84*Rates!J122</f>
        <v>0</v>
      </c>
      <c r="L144" s="13">
        <f>L84*Rates!K122</f>
        <v>0</v>
      </c>
      <c r="M144" s="13">
        <f>M84*Rates!L122</f>
        <v>0</v>
      </c>
    </row>
    <row r="145" spans="2:13" x14ac:dyDescent="0.35">
      <c r="B145" s="22" t="s">
        <v>125</v>
      </c>
      <c r="C145" s="49"/>
      <c r="D145" s="13">
        <f>D85*Rates!C123</f>
        <v>0</v>
      </c>
      <c r="E145" s="13">
        <f>E85*Rates!D123</f>
        <v>0</v>
      </c>
      <c r="F145" s="13">
        <f>F85*Rates!E123</f>
        <v>0</v>
      </c>
      <c r="G145" s="13">
        <f>G85*Rates!F123</f>
        <v>0</v>
      </c>
      <c r="H145" s="13">
        <f>H85*Rates!G123</f>
        <v>0</v>
      </c>
      <c r="I145" s="13">
        <f>I85*Rates!H123</f>
        <v>0</v>
      </c>
      <c r="J145" s="13">
        <f>J85*Rates!I123</f>
        <v>0</v>
      </c>
      <c r="K145" s="13">
        <f>K85*Rates!J123</f>
        <v>0</v>
      </c>
      <c r="L145" s="13">
        <f>L85*Rates!K123</f>
        <v>0</v>
      </c>
      <c r="M145" s="13">
        <f>M85*Rates!L123</f>
        <v>0</v>
      </c>
    </row>
    <row r="147" spans="2:13" x14ac:dyDescent="0.35">
      <c r="B147" s="42" t="s">
        <v>112</v>
      </c>
    </row>
    <row r="148" spans="2:13" x14ac:dyDescent="0.35">
      <c r="B148" s="22" t="s">
        <v>121</v>
      </c>
      <c r="C148" s="49"/>
      <c r="D148" s="13">
        <f>D88*Rates!C143</f>
        <v>39705.7427092668</v>
      </c>
      <c r="E148" s="13">
        <f>E88*Rates!D143</f>
        <v>109024.78607599981</v>
      </c>
      <c r="F148" s="13">
        <f>F88*Rates!E143</f>
        <v>0</v>
      </c>
      <c r="G148" s="13">
        <f>G88*Rates!F143</f>
        <v>0</v>
      </c>
      <c r="H148" s="13">
        <f>H88*Rates!G143</f>
        <v>0</v>
      </c>
      <c r="I148" s="13">
        <f>I88*Rates!H143</f>
        <v>0</v>
      </c>
      <c r="J148" s="13">
        <f>J88*Rates!I143</f>
        <v>0</v>
      </c>
      <c r="K148" s="13">
        <f>K88*Rates!J143</f>
        <v>0</v>
      </c>
      <c r="L148" s="13">
        <f>L88*Rates!K143</f>
        <v>0</v>
      </c>
      <c r="M148" s="13">
        <f>M88*Rates!L143</f>
        <v>0</v>
      </c>
    </row>
    <row r="149" spans="2:13" x14ac:dyDescent="0.35">
      <c r="B149" s="22" t="s">
        <v>122</v>
      </c>
      <c r="C149" s="49"/>
      <c r="D149" s="13">
        <f>D89*Rates!C144</f>
        <v>79411.485418533601</v>
      </c>
      <c r="E149" s="13">
        <f>E89*Rates!D144</f>
        <v>218049.57215199963</v>
      </c>
      <c r="F149" s="13">
        <f>F89*Rates!E144</f>
        <v>0</v>
      </c>
      <c r="G149" s="13">
        <f>G89*Rates!F144</f>
        <v>0</v>
      </c>
      <c r="H149" s="13">
        <f>H89*Rates!G144</f>
        <v>0</v>
      </c>
      <c r="I149" s="13">
        <f>I89*Rates!H144</f>
        <v>0</v>
      </c>
      <c r="J149" s="13">
        <f>J89*Rates!I144</f>
        <v>0</v>
      </c>
      <c r="K149" s="13">
        <f>K89*Rates!J144</f>
        <v>0</v>
      </c>
      <c r="L149" s="13">
        <f>L89*Rates!K144</f>
        <v>0</v>
      </c>
      <c r="M149" s="13">
        <f>M89*Rates!L144</f>
        <v>0</v>
      </c>
    </row>
    <row r="150" spans="2:13" x14ac:dyDescent="0.35">
      <c r="B150" s="22" t="s">
        <v>124</v>
      </c>
      <c r="C150" s="49"/>
      <c r="D150" s="13">
        <f>D90*Rates!C145</f>
        <v>70329.592349995713</v>
      </c>
      <c r="E150" s="13">
        <f>E90*Rates!D145</f>
        <v>195748.52840181251</v>
      </c>
      <c r="F150" s="13">
        <f>F90*Rates!E145</f>
        <v>0</v>
      </c>
      <c r="G150" s="13">
        <f>G90*Rates!F145</f>
        <v>0</v>
      </c>
      <c r="H150" s="13">
        <f>H90*Rates!G145</f>
        <v>0</v>
      </c>
      <c r="I150" s="13">
        <f>I90*Rates!H145</f>
        <v>0</v>
      </c>
      <c r="J150" s="13">
        <f>J90*Rates!I145</f>
        <v>0</v>
      </c>
      <c r="K150" s="13">
        <f>K90*Rates!J145</f>
        <v>0</v>
      </c>
      <c r="L150" s="13">
        <f>L90*Rates!K145</f>
        <v>0</v>
      </c>
      <c r="M150" s="13">
        <f>M90*Rates!L145</f>
        <v>0</v>
      </c>
    </row>
    <row r="151" spans="2:13" x14ac:dyDescent="0.35">
      <c r="B151" s="22" t="s">
        <v>125</v>
      </c>
      <c r="C151" s="49"/>
      <c r="D151" s="13">
        <f>D91*Rates!C146</f>
        <v>110243.18935468407</v>
      </c>
      <c r="E151" s="13">
        <f>E91*Rates!D146</f>
        <v>288781.36679143534</v>
      </c>
      <c r="F151" s="13">
        <f>F91*Rates!E146</f>
        <v>0</v>
      </c>
      <c r="G151" s="13">
        <f>G91*Rates!F146</f>
        <v>0</v>
      </c>
      <c r="H151" s="13">
        <f>H91*Rates!G146</f>
        <v>0</v>
      </c>
      <c r="I151" s="13">
        <f>I91*Rates!H146</f>
        <v>0</v>
      </c>
      <c r="J151" s="13">
        <f>J91*Rates!I146</f>
        <v>0</v>
      </c>
      <c r="K151" s="13">
        <f>K91*Rates!J146</f>
        <v>0</v>
      </c>
      <c r="L151" s="13">
        <f>L91*Rates!K146</f>
        <v>0</v>
      </c>
      <c r="M151" s="13">
        <f>M91*Rates!L146</f>
        <v>0</v>
      </c>
    </row>
    <row r="153" spans="2:13" s="2" customFormat="1" x14ac:dyDescent="0.35">
      <c r="B153" s="24" t="s">
        <v>68</v>
      </c>
      <c r="D153" s="37">
        <f t="shared" ref="D153:M153" si="34">SUM(D127:D132,D135:D136,D139:D145,D148:D151)</f>
        <v>464858.54899635992</v>
      </c>
      <c r="E153" s="37">
        <f t="shared" si="34"/>
        <v>1208694.4037710121</v>
      </c>
      <c r="F153" s="37">
        <f t="shared" si="34"/>
        <v>2242106.8384694038</v>
      </c>
      <c r="G153" s="37">
        <f t="shared" si="34"/>
        <v>3272830.2002598611</v>
      </c>
      <c r="H153" s="37">
        <f t="shared" si="34"/>
        <v>4493327.6274204003</v>
      </c>
      <c r="I153" s="37">
        <f t="shared" si="34"/>
        <v>5875600.5128439832</v>
      </c>
      <c r="J153" s="37">
        <f t="shared" si="34"/>
        <v>7523970.3366902452</v>
      </c>
      <c r="K153" s="37">
        <f t="shared" si="34"/>
        <v>9391903.0635312013</v>
      </c>
      <c r="L153" s="37">
        <f t="shared" si="34"/>
        <v>11520729.475316785</v>
      </c>
      <c r="M153" s="37">
        <f t="shared" si="34"/>
        <v>13843543.975602202</v>
      </c>
    </row>
    <row r="155" spans="2:13" x14ac:dyDescent="0.35">
      <c r="B155" s="48" t="s">
        <v>40</v>
      </c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</row>
    <row r="157" spans="2:13" x14ac:dyDescent="0.35">
      <c r="B157" s="42" t="s">
        <v>113</v>
      </c>
    </row>
    <row r="158" spans="2:13" x14ac:dyDescent="0.35">
      <c r="B158" s="22" t="s">
        <v>97</v>
      </c>
      <c r="C158" s="49"/>
      <c r="D158" s="13">
        <f>D96*Rates!C170</f>
        <v>14860.167072866479</v>
      </c>
      <c r="E158" s="13">
        <f>E96*Rates!D170</f>
        <v>65592.510585409342</v>
      </c>
      <c r="F158" s="13">
        <f>F96*Rates!E170</f>
        <v>174539.73646110392</v>
      </c>
      <c r="G158" s="13">
        <f>G96*Rates!F170</f>
        <v>961921.01385256322</v>
      </c>
      <c r="H158" s="13">
        <f>H96*Rates!G170</f>
        <v>1703199.0576632197</v>
      </c>
      <c r="I158" s="13">
        <f>I96*Rates!H170</f>
        <v>2794423.8418660453</v>
      </c>
      <c r="J158" s="13">
        <f>J96*Rates!I170</f>
        <v>4409123.7621339578</v>
      </c>
      <c r="K158" s="13">
        <f>K96*Rates!J170</f>
        <v>6701171.788234774</v>
      </c>
      <c r="L158" s="13">
        <f>L96*Rates!K170</f>
        <v>9935243.9896061253</v>
      </c>
      <c r="M158" s="13">
        <f>M96*Rates!L170</f>
        <v>14376572.754217107</v>
      </c>
    </row>
    <row r="159" spans="2:13" x14ac:dyDescent="0.35">
      <c r="B159" s="22" t="s">
        <v>98</v>
      </c>
      <c r="C159" s="49"/>
      <c r="D159" s="13">
        <f>D97*Rates!C171</f>
        <v>0</v>
      </c>
      <c r="E159" s="13">
        <f>E97*Rates!D171</f>
        <v>0</v>
      </c>
      <c r="F159" s="13">
        <f>F97*Rates!E171</f>
        <v>149606.96229089989</v>
      </c>
      <c r="G159" s="13">
        <f>G97*Rates!F171</f>
        <v>2267856.6813897528</v>
      </c>
      <c r="H159" s="13">
        <f>H97*Rates!G171</f>
        <v>4015518.2255435153</v>
      </c>
      <c r="I159" s="13">
        <f>I97*Rates!H171</f>
        <v>6588225.736985595</v>
      </c>
      <c r="J159" s="13">
        <f>J97*Rates!I171</f>
        <v>10395095.479806663</v>
      </c>
      <c r="K159" s="13">
        <f>K97*Rates!J171</f>
        <v>15798903.438258907</v>
      </c>
      <c r="L159" s="13">
        <f>L97*Rates!K171</f>
        <v>23423658.635779787</v>
      </c>
      <c r="M159" s="13">
        <f>M97*Rates!L171</f>
        <v>33894681.690709464</v>
      </c>
    </row>
    <row r="160" spans="2:13" x14ac:dyDescent="0.35">
      <c r="B160" s="22" t="s">
        <v>99</v>
      </c>
      <c r="C160" s="49"/>
      <c r="D160" s="13">
        <f>D98*Rates!C172</f>
        <v>3681.7858801718403</v>
      </c>
      <c r="E160" s="13">
        <f>E98*Rates!D172</f>
        <v>14792.165199925839</v>
      </c>
      <c r="F160" s="13">
        <f>F98*Rates!E172</f>
        <v>34757.797889736044</v>
      </c>
      <c r="G160" s="13">
        <f>G98*Rates!F172</f>
        <v>289328.13519222831</v>
      </c>
      <c r="H160" s="13">
        <f>H98*Rates!G172</f>
        <v>512290.92630093062</v>
      </c>
      <c r="I160" s="13">
        <f>I98*Rates!H172</f>
        <v>840511.25556108041</v>
      </c>
      <c r="J160" s="13">
        <f>J98*Rates!I172</f>
        <v>1326183.2703090201</v>
      </c>
      <c r="K160" s="13">
        <f>K98*Rates!J172</f>
        <v>2015589.12756002</v>
      </c>
      <c r="L160" s="13">
        <f>L98*Rates!K172</f>
        <v>2988338.517192563</v>
      </c>
      <c r="M160" s="13">
        <f>M98*Rates!L172</f>
        <v>4324208.4594594194</v>
      </c>
    </row>
    <row r="161" spans="2:13" x14ac:dyDescent="0.35">
      <c r="B161" s="22" t="s">
        <v>100</v>
      </c>
      <c r="C161" s="49"/>
      <c r="D161" s="13">
        <f>D99*Rates!C173</f>
        <v>23685.546646430688</v>
      </c>
      <c r="E161" s="13">
        <f>E99*Rates!D173</f>
        <v>102408.6280090498</v>
      </c>
      <c r="F161" s="13">
        <f>F99*Rates!E173</f>
        <v>256087.74669513293</v>
      </c>
      <c r="G161" s="13">
        <f>G99*Rates!F173</f>
        <v>2082713.5684088678</v>
      </c>
      <c r="H161" s="13">
        <f>H99*Rates!G173</f>
        <v>3687699.6510236221</v>
      </c>
      <c r="I161" s="13">
        <f>I99*Rates!H173</f>
        <v>6050376.6603769194</v>
      </c>
      <c r="J161" s="13">
        <f>J99*Rates!I173</f>
        <v>9546461.4577989168</v>
      </c>
      <c r="K161" s="13">
        <f>K99*Rates!J173</f>
        <v>14509113.749057222</v>
      </c>
      <c r="L161" s="13">
        <f>L99*Rates!K173</f>
        <v>21511399.755923111</v>
      </c>
      <c r="M161" s="13">
        <f>M99*Rates!L173</f>
        <v>31127590.219184656</v>
      </c>
    </row>
    <row r="162" spans="2:13" x14ac:dyDescent="0.35">
      <c r="B162" s="22" t="s">
        <v>101</v>
      </c>
      <c r="C162" s="49"/>
      <c r="D162" s="13">
        <f>D100*Rates!C174</f>
        <v>0</v>
      </c>
      <c r="E162" s="13">
        <f>E100*Rates!D174</f>
        <v>0</v>
      </c>
      <c r="F162" s="13">
        <f>F100*Rates!E174</f>
        <v>261812.18400907484</v>
      </c>
      <c r="G162" s="13">
        <f>G100*Rates!F174</f>
        <v>3819855.9015458641</v>
      </c>
      <c r="H162" s="13">
        <f>H100*Rates!G174</f>
        <v>6763523.0733397789</v>
      </c>
      <c r="I162" s="13">
        <f>I100*Rates!H174</f>
        <v>11096853.327926742</v>
      </c>
      <c r="J162" s="13">
        <f>J100*Rates!I174</f>
        <v>17508940.111391485</v>
      </c>
      <c r="K162" s="13">
        <f>K100*Rates!J174</f>
        <v>26610823.793152604</v>
      </c>
      <c r="L162" s="13">
        <f>L100*Rates!K174</f>
        <v>39453551.633099005</v>
      </c>
      <c r="M162" s="13">
        <f>M100*Rates!L174</f>
        <v>57090380.071078211</v>
      </c>
    </row>
    <row r="163" spans="2:13" x14ac:dyDescent="0.35">
      <c r="B163" s="22" t="s">
        <v>102</v>
      </c>
      <c r="C163" s="49"/>
      <c r="D163" s="13">
        <f>D101*Rates!C175</f>
        <v>7534.9311755442486</v>
      </c>
      <c r="E163" s="13">
        <f>E101*Rates!D175</f>
        <v>28526.192036307948</v>
      </c>
      <c r="F163" s="13">
        <f>F101*Rates!E175</f>
        <v>86311.338068935234</v>
      </c>
      <c r="G163" s="13">
        <f>G101*Rates!F175</f>
        <v>870540.35984952189</v>
      </c>
      <c r="H163" s="13">
        <f>H101*Rates!G175</f>
        <v>1541398.4092261081</v>
      </c>
      <c r="I163" s="13">
        <f>I101*Rates!H175</f>
        <v>2528958.9288908215</v>
      </c>
      <c r="J163" s="13">
        <f>J101*Rates!I175</f>
        <v>3990265.4492767812</v>
      </c>
      <c r="K163" s="13">
        <f>K101*Rates!J175</f>
        <v>6064573.3027280644</v>
      </c>
      <c r="L163" s="13">
        <f>L101*Rates!K175</f>
        <v>8991414.8390048426</v>
      </c>
      <c r="M163" s="13">
        <f>M101*Rates!L175</f>
        <v>13010825.877203755</v>
      </c>
    </row>
    <row r="164" spans="2:13" s="185" customFormat="1" x14ac:dyDescent="0.35">
      <c r="B164" s="182" t="s">
        <v>124</v>
      </c>
      <c r="C164" s="183"/>
      <c r="D164" s="186">
        <f>D102*Rates!C176</f>
        <v>5119.3204096298978</v>
      </c>
      <c r="E164" s="186">
        <f>E102*Rates!D176</f>
        <v>23039.482052090683</v>
      </c>
      <c r="F164" s="186">
        <f>F102*Rates!E176</f>
        <v>31202.280656744744</v>
      </c>
      <c r="G164" s="186">
        <f>G102*Rates!F176</f>
        <v>0</v>
      </c>
      <c r="H164" s="186">
        <f>H102*Rates!G176</f>
        <v>0</v>
      </c>
      <c r="I164" s="186">
        <f>I102*Rates!H176</f>
        <v>0</v>
      </c>
      <c r="J164" s="186">
        <f>J102*Rates!I176</f>
        <v>0</v>
      </c>
      <c r="K164" s="186">
        <f>K102*Rates!J176</f>
        <v>0</v>
      </c>
      <c r="L164" s="186">
        <f>L102*Rates!K176</f>
        <v>0</v>
      </c>
      <c r="M164" s="186">
        <f>M102*Rates!L176</f>
        <v>0</v>
      </c>
    </row>
    <row r="165" spans="2:13" s="185" customFormat="1" x14ac:dyDescent="0.35">
      <c r="B165" s="182" t="s">
        <v>125</v>
      </c>
      <c r="C165" s="183"/>
      <c r="D165" s="186">
        <f>D103*Rates!C177</f>
        <v>10238.640819259797</v>
      </c>
      <c r="E165" s="186">
        <f>E103*Rates!D177</f>
        <v>46078.964104181381</v>
      </c>
      <c r="F165" s="186">
        <f>F103*Rates!E177</f>
        <v>62404.561313489503</v>
      </c>
      <c r="G165" s="186">
        <f>G103*Rates!F177</f>
        <v>0</v>
      </c>
      <c r="H165" s="186">
        <f>H103*Rates!G177</f>
        <v>0</v>
      </c>
      <c r="I165" s="186">
        <f>I103*Rates!H177</f>
        <v>0</v>
      </c>
      <c r="J165" s="186">
        <f>J103*Rates!I177</f>
        <v>0</v>
      </c>
      <c r="K165" s="186">
        <f>K103*Rates!J177</f>
        <v>0</v>
      </c>
      <c r="L165" s="186">
        <f>L103*Rates!K177</f>
        <v>0</v>
      </c>
      <c r="M165" s="186">
        <f>M103*Rates!L177</f>
        <v>0</v>
      </c>
    </row>
    <row r="167" spans="2:13" s="2" customFormat="1" x14ac:dyDescent="0.35">
      <c r="B167" s="24" t="s">
        <v>71</v>
      </c>
      <c r="D167" s="37">
        <f t="shared" ref="D167:M167" si="35">SUM(D158:D165)</f>
        <v>65120.392003902954</v>
      </c>
      <c r="E167" s="37">
        <f t="shared" si="35"/>
        <v>280437.94198696502</v>
      </c>
      <c r="F167" s="37">
        <f t="shared" si="35"/>
        <v>1056722.6073851171</v>
      </c>
      <c r="G167" s="37">
        <f t="shared" si="35"/>
        <v>10292215.660238799</v>
      </c>
      <c r="H167" s="37">
        <f t="shared" si="35"/>
        <v>18223629.343097173</v>
      </c>
      <c r="I167" s="37">
        <f t="shared" si="35"/>
        <v>29899349.751607202</v>
      </c>
      <c r="J167" s="37">
        <f t="shared" si="35"/>
        <v>47176069.530716829</v>
      </c>
      <c r="K167" s="37">
        <f t="shared" si="35"/>
        <v>71700175.198991597</v>
      </c>
      <c r="L167" s="37">
        <f t="shared" si="35"/>
        <v>106303607.37060544</v>
      </c>
      <c r="M167" s="37">
        <f t="shared" si="35"/>
        <v>153824259.07185262</v>
      </c>
    </row>
    <row r="169" spans="2:13" s="2" customFormat="1" x14ac:dyDescent="0.35">
      <c r="B169" s="24" t="s">
        <v>126</v>
      </c>
      <c r="D169" s="37">
        <f t="shared" ref="D169:M169" si="36">SUM(D122,D153,D167)</f>
        <v>2957761.7172386167</v>
      </c>
      <c r="E169" s="37">
        <f t="shared" si="36"/>
        <v>8589162.7432038933</v>
      </c>
      <c r="F169" s="37">
        <f t="shared" si="36"/>
        <v>17109161.549202666</v>
      </c>
      <c r="G169" s="37">
        <f t="shared" si="36"/>
        <v>31045983.497522932</v>
      </c>
      <c r="H169" s="37">
        <f t="shared" si="36"/>
        <v>47644134.557464167</v>
      </c>
      <c r="I169" s="37">
        <f t="shared" si="36"/>
        <v>69745428.933563113</v>
      </c>
      <c r="J169" s="37">
        <f t="shared" si="36"/>
        <v>100214379.53663333</v>
      </c>
      <c r="K169" s="37">
        <f t="shared" si="36"/>
        <v>140808411.70461798</v>
      </c>
      <c r="L169" s="37">
        <f t="shared" si="36"/>
        <v>195233654.49226969</v>
      </c>
      <c r="M169" s="37">
        <f t="shared" si="36"/>
        <v>266594294.45707488</v>
      </c>
    </row>
    <row r="173" spans="2:13" x14ac:dyDescent="0.35">
      <c r="B173" s="48" t="s">
        <v>127</v>
      </c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</row>
    <row r="174" spans="2:13" x14ac:dyDescent="0.35">
      <c r="B174" s="22" t="s">
        <v>64</v>
      </c>
      <c r="D174" s="52">
        <f t="shared" ref="D174:M174" si="37">IFERROR(SUM(D111:D116)/SUM(D53:D58),"N/A")</f>
        <v>0.13926370690498349</v>
      </c>
      <c r="E174" s="52">
        <f t="shared" si="37"/>
        <v>0.15884454321764113</v>
      </c>
      <c r="F174" s="52">
        <f t="shared" si="37"/>
        <v>0.14606844083521997</v>
      </c>
      <c r="G174" s="52">
        <f t="shared" si="37"/>
        <v>0.11015018751822764</v>
      </c>
      <c r="H174" s="52">
        <f t="shared" si="37"/>
        <v>0.11235319126859222</v>
      </c>
      <c r="I174" s="52">
        <f t="shared" si="37"/>
        <v>0.11460025509396407</v>
      </c>
      <c r="J174" s="52">
        <f t="shared" si="37"/>
        <v>0.11689226019584333</v>
      </c>
      <c r="K174" s="52">
        <f t="shared" si="37"/>
        <v>0.1192301053997602</v>
      </c>
      <c r="L174" s="52">
        <f t="shared" si="37"/>
        <v>0.12161470750775542</v>
      </c>
      <c r="M174" s="52">
        <f t="shared" si="37"/>
        <v>0.12404700165791054</v>
      </c>
    </row>
    <row r="175" spans="2:13" x14ac:dyDescent="0.35">
      <c r="B175" s="22"/>
      <c r="D175" s="52">
        <f t="shared" ref="D175:M175" si="38">IFERROR(SUM(D119:D120)/SUM(D61:D62),"N/A")</f>
        <v>0.11667</v>
      </c>
      <c r="E175" s="52">
        <f t="shared" si="38"/>
        <v>0.131537925</v>
      </c>
      <c r="F175" s="52">
        <f t="shared" si="38"/>
        <v>0.13068333333333335</v>
      </c>
      <c r="G175" s="52" t="str">
        <f t="shared" si="38"/>
        <v>N/A</v>
      </c>
      <c r="H175" s="52" t="str">
        <f t="shared" si="38"/>
        <v>N/A</v>
      </c>
      <c r="I175" s="52" t="str">
        <f t="shared" si="38"/>
        <v>N/A</v>
      </c>
      <c r="J175" s="52" t="str">
        <f t="shared" si="38"/>
        <v>N/A</v>
      </c>
      <c r="K175" s="52" t="str">
        <f t="shared" si="38"/>
        <v>N/A</v>
      </c>
      <c r="L175" s="52" t="str">
        <f t="shared" si="38"/>
        <v>N/A</v>
      </c>
      <c r="M175" s="52" t="str">
        <f t="shared" si="38"/>
        <v>N/A</v>
      </c>
    </row>
    <row r="176" spans="2:13" x14ac:dyDescent="0.35">
      <c r="B176" s="22"/>
      <c r="D176" s="52" t="str">
        <f t="shared" ref="D176:M176" si="39">IFERROR(SUM(D127:D132)/SUM(D67:D72),"N/A")</f>
        <v>N/A</v>
      </c>
      <c r="E176" s="52" t="str">
        <f t="shared" si="39"/>
        <v>N/A</v>
      </c>
      <c r="F176" s="52" t="str">
        <f t="shared" si="39"/>
        <v>N/A</v>
      </c>
      <c r="G176" s="52" t="str">
        <f t="shared" si="39"/>
        <v>N/A</v>
      </c>
      <c r="H176" s="52" t="str">
        <f t="shared" si="39"/>
        <v>N/A</v>
      </c>
      <c r="I176" s="52" t="str">
        <f t="shared" si="39"/>
        <v>N/A</v>
      </c>
      <c r="J176" s="52" t="str">
        <f t="shared" si="39"/>
        <v>N/A</v>
      </c>
      <c r="K176" s="52" t="str">
        <f t="shared" si="39"/>
        <v>N/A</v>
      </c>
      <c r="L176" s="52" t="str">
        <f t="shared" si="39"/>
        <v>N/A</v>
      </c>
      <c r="M176" s="52" t="str">
        <f t="shared" si="39"/>
        <v>N/A</v>
      </c>
    </row>
    <row r="177" spans="2:13" x14ac:dyDescent="0.35">
      <c r="B177" s="22" t="s">
        <v>67</v>
      </c>
      <c r="D177" s="52">
        <f t="shared" ref="D177:M177" si="40">IFERROR(SUM(D135:D136)/SUM(D75:D76),"N/A")</f>
        <v>0.10851000000000001</v>
      </c>
      <c r="E177" s="52">
        <f t="shared" si="40"/>
        <v>0.119653225</v>
      </c>
      <c r="F177" s="52">
        <f t="shared" si="40"/>
        <v>0.12107000000000001</v>
      </c>
      <c r="G177" s="52">
        <f t="shared" si="40"/>
        <v>0.11509000000000001</v>
      </c>
      <c r="H177" s="52">
        <f t="shared" si="40"/>
        <v>0.1173918</v>
      </c>
      <c r="I177" s="52">
        <f t="shared" si="40"/>
        <v>0.119739636</v>
      </c>
      <c r="J177" s="52">
        <f t="shared" si="40"/>
        <v>0.12213442872000002</v>
      </c>
      <c r="K177" s="52">
        <f t="shared" si="40"/>
        <v>0.12457711729440002</v>
      </c>
      <c r="L177" s="52">
        <f t="shared" si="40"/>
        <v>0.12706865964028799</v>
      </c>
      <c r="M177" s="52">
        <f t="shared" si="40"/>
        <v>0.12961003283309377</v>
      </c>
    </row>
    <row r="178" spans="2:13" x14ac:dyDescent="0.35">
      <c r="B178" s="22"/>
      <c r="D178" s="52" t="str">
        <f t="shared" ref="D178:M178" si="41">IFERROR(SUM(D139:D145)/SUM(D79:D83),"N/A")</f>
        <v>N/A</v>
      </c>
      <c r="E178" s="52" t="str">
        <f t="shared" si="41"/>
        <v>N/A</v>
      </c>
      <c r="F178" s="52" t="str">
        <f t="shared" si="41"/>
        <v>N/A</v>
      </c>
      <c r="G178" s="52" t="str">
        <f t="shared" si="41"/>
        <v>N/A</v>
      </c>
      <c r="H178" s="52" t="str">
        <f t="shared" si="41"/>
        <v>N/A</v>
      </c>
      <c r="I178" s="52" t="str">
        <f t="shared" si="41"/>
        <v>N/A</v>
      </c>
      <c r="J178" s="52" t="str">
        <f t="shared" si="41"/>
        <v>N/A</v>
      </c>
      <c r="K178" s="52" t="str">
        <f t="shared" si="41"/>
        <v>N/A</v>
      </c>
      <c r="L178" s="52" t="str">
        <f t="shared" si="41"/>
        <v>N/A</v>
      </c>
      <c r="M178" s="52" t="str">
        <f t="shared" si="41"/>
        <v>N/A</v>
      </c>
    </row>
    <row r="179" spans="2:13" x14ac:dyDescent="0.35">
      <c r="B179" s="22"/>
      <c r="D179" s="52">
        <f t="shared" ref="D179:M179" si="42">IFERROR(SUM(D148:D151)/SUM(D88:D89),"N/A")</f>
        <v>0.11731758183203621</v>
      </c>
      <c r="E179" s="52">
        <f t="shared" si="42"/>
        <v>0.12135308060949969</v>
      </c>
      <c r="F179" s="52" t="str">
        <f t="shared" si="42"/>
        <v>N/A</v>
      </c>
      <c r="G179" s="52" t="str">
        <f t="shared" si="42"/>
        <v>N/A</v>
      </c>
      <c r="H179" s="52" t="str">
        <f t="shared" si="42"/>
        <v>N/A</v>
      </c>
      <c r="I179" s="52" t="str">
        <f t="shared" si="42"/>
        <v>N/A</v>
      </c>
      <c r="J179" s="52" t="str">
        <f t="shared" si="42"/>
        <v>N/A</v>
      </c>
      <c r="K179" s="52" t="str">
        <f t="shared" si="42"/>
        <v>N/A</v>
      </c>
      <c r="L179" s="52" t="str">
        <f t="shared" si="42"/>
        <v>N/A</v>
      </c>
      <c r="M179" s="52" t="str">
        <f t="shared" si="42"/>
        <v>N/A</v>
      </c>
    </row>
    <row r="180" spans="2:13" x14ac:dyDescent="0.35">
      <c r="B180" s="22" t="s">
        <v>70</v>
      </c>
      <c r="D180" s="52">
        <f t="shared" ref="D180:M180" si="43">IFERROR(SUM(D158:D165)/SUM(D96:D101),"N/A")</f>
        <v>6.0066914819757011E-2</v>
      </c>
      <c r="E180" s="52">
        <f t="shared" si="43"/>
        <v>6.2803598528730575E-2</v>
      </c>
      <c r="F180" s="52">
        <f t="shared" si="43"/>
        <v>8.82411574037123E-2</v>
      </c>
      <c r="G180" s="52">
        <f t="shared" si="43"/>
        <v>0.4156531560766526</v>
      </c>
      <c r="H180" s="52">
        <f t="shared" si="43"/>
        <v>0.42396621919818561</v>
      </c>
      <c r="I180" s="52">
        <f t="shared" si="43"/>
        <v>0.43244554358214937</v>
      </c>
      <c r="J180" s="52">
        <f t="shared" si="43"/>
        <v>0.44109445445379247</v>
      </c>
      <c r="K180" s="52">
        <f t="shared" si="43"/>
        <v>0.4499163435428683</v>
      </c>
      <c r="L180" s="52">
        <f t="shared" si="43"/>
        <v>0.45891467041372574</v>
      </c>
      <c r="M180" s="52">
        <f t="shared" si="43"/>
        <v>0.46809296382200022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2D5D9-2CD9-4CD3-BB5C-826E8FF867C6}">
  <sheetPr>
    <tabColor theme="9" tint="0.79998168889431442"/>
  </sheetPr>
  <dimension ref="A1:N177"/>
  <sheetViews>
    <sheetView workbookViewId="0">
      <selection activeCell="F20" sqref="F20:I20"/>
    </sheetView>
  </sheetViews>
  <sheetFormatPr defaultRowHeight="14.5" x14ac:dyDescent="0.35"/>
  <cols>
    <col min="1" max="1" width="5" customWidth="1"/>
    <col min="2" max="2" width="31.54296875" customWidth="1"/>
    <col min="3" max="5" width="11.54296875" hidden="1" customWidth="1"/>
    <col min="6" max="9" width="11.1796875" customWidth="1"/>
    <col min="10" max="12" width="11.1796875" hidden="1" customWidth="1"/>
  </cols>
  <sheetData>
    <row r="1" spans="1:14" x14ac:dyDescent="0.35">
      <c r="A1" s="68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1:14" x14ac:dyDescent="0.35">
      <c r="A2" s="69"/>
      <c r="B2" s="69"/>
      <c r="C2" s="70">
        <v>2021</v>
      </c>
      <c r="D2" s="70">
        <v>2022</v>
      </c>
      <c r="E2" s="70">
        <v>2023</v>
      </c>
      <c r="F2" s="70">
        <v>2024</v>
      </c>
      <c r="G2" s="70">
        <v>2025</v>
      </c>
      <c r="H2" s="70">
        <v>2026</v>
      </c>
      <c r="I2" s="70">
        <v>2027</v>
      </c>
      <c r="J2" s="70">
        <v>2028</v>
      </c>
      <c r="K2" s="70">
        <v>2029</v>
      </c>
      <c r="L2" s="70">
        <v>2030</v>
      </c>
    </row>
    <row r="3" spans="1:14" x14ac:dyDescent="0.35">
      <c r="E3" s="193" t="s">
        <v>128</v>
      </c>
      <c r="F3" s="193" t="s">
        <v>129</v>
      </c>
    </row>
    <row r="4" spans="1:14" x14ac:dyDescent="0.35">
      <c r="B4" s="16" t="s">
        <v>130</v>
      </c>
      <c r="C4" s="42"/>
      <c r="D4" s="42"/>
      <c r="F4" s="193">
        <v>2024</v>
      </c>
    </row>
    <row r="5" spans="1:14" x14ac:dyDescent="0.35">
      <c r="B5" s="22" t="s">
        <v>115</v>
      </c>
      <c r="C5" s="22"/>
      <c r="D5" s="22"/>
      <c r="E5" s="81">
        <v>0.17246</v>
      </c>
      <c r="F5">
        <v>0.27844999999999998</v>
      </c>
      <c r="N5" s="91" t="s">
        <v>131</v>
      </c>
    </row>
    <row r="6" spans="1:14" x14ac:dyDescent="0.35">
      <c r="B6" s="22" t="s">
        <v>116</v>
      </c>
      <c r="C6" s="22"/>
      <c r="D6" s="22"/>
      <c r="E6" s="81">
        <v>0.11816</v>
      </c>
      <c r="F6">
        <v>0.11307</v>
      </c>
    </row>
    <row r="7" spans="1:14" x14ac:dyDescent="0.35">
      <c r="B7" s="22" t="s">
        <v>117</v>
      </c>
      <c r="C7" s="22"/>
      <c r="D7" s="22"/>
      <c r="E7" s="81">
        <v>6.3869999999999996E-2</v>
      </c>
      <c r="F7">
        <v>3.8249999999999999E-2</v>
      </c>
    </row>
    <row r="8" spans="1:14" x14ac:dyDescent="0.35">
      <c r="B8" s="22" t="s">
        <v>118</v>
      </c>
      <c r="C8" s="22"/>
      <c r="D8" s="22"/>
      <c r="E8" s="81">
        <v>0.10858</v>
      </c>
      <c r="F8">
        <v>0.24868999999999999</v>
      </c>
    </row>
    <row r="9" spans="1:14" x14ac:dyDescent="0.35">
      <c r="B9" s="22" t="s">
        <v>119</v>
      </c>
      <c r="C9" s="22"/>
      <c r="D9" s="22"/>
      <c r="E9" s="81">
        <v>8.6230000000000001E-2</v>
      </c>
      <c r="F9">
        <v>9.9070000000000005E-2</v>
      </c>
    </row>
    <row r="10" spans="1:14" x14ac:dyDescent="0.35">
      <c r="B10" s="22" t="s">
        <v>120</v>
      </c>
      <c r="C10" s="22"/>
      <c r="D10" s="22"/>
      <c r="E10" s="81">
        <v>6.3869999999999996E-2</v>
      </c>
      <c r="F10">
        <v>3.8249999999999999E-2</v>
      </c>
    </row>
    <row r="11" spans="1:14" x14ac:dyDescent="0.35">
      <c r="B11" s="22"/>
      <c r="C11" s="22"/>
      <c r="D11" s="22"/>
      <c r="E11" s="81"/>
      <c r="F11" s="67"/>
      <c r="G11" s="67"/>
      <c r="H11" s="71"/>
      <c r="I11" s="71"/>
      <c r="J11" s="71"/>
      <c r="K11" s="71"/>
      <c r="L11" s="71"/>
      <c r="M11" s="71"/>
    </row>
    <row r="12" spans="1:14" x14ac:dyDescent="0.35">
      <c r="B12" s="192" t="s">
        <v>132</v>
      </c>
      <c r="C12" s="22"/>
      <c r="D12" s="22"/>
      <c r="E12" s="81">
        <v>1.2710000000000001E-2</v>
      </c>
      <c r="F12">
        <v>2.225E-3</v>
      </c>
    </row>
    <row r="13" spans="1:14" x14ac:dyDescent="0.35">
      <c r="C13" s="22"/>
      <c r="D13" s="22"/>
      <c r="E13" s="163">
        <v>5.0599999999999999E-2</v>
      </c>
      <c r="F13" s="73"/>
      <c r="G13" s="73"/>
      <c r="H13" s="73"/>
      <c r="I13" s="73"/>
      <c r="J13" s="73"/>
      <c r="K13" s="73"/>
      <c r="L13" s="73"/>
      <c r="M13" s="73"/>
    </row>
    <row r="14" spans="1:14" x14ac:dyDescent="0.35">
      <c r="C14" s="22"/>
      <c r="D14" s="22"/>
      <c r="E14" s="163">
        <v>2.47E-2</v>
      </c>
      <c r="F14" s="73"/>
      <c r="G14" s="73"/>
      <c r="H14" s="73"/>
      <c r="I14" s="73"/>
      <c r="J14" s="73"/>
      <c r="K14" s="73"/>
      <c r="L14" s="73"/>
      <c r="M14" s="73"/>
    </row>
    <row r="15" spans="1:14" x14ac:dyDescent="0.35">
      <c r="B15" s="192" t="s">
        <v>133</v>
      </c>
      <c r="C15" s="22"/>
      <c r="D15" s="22"/>
      <c r="E15" s="81">
        <v>3.0779999999999998E-2</v>
      </c>
      <c r="F15">
        <v>1.176E-3</v>
      </c>
    </row>
    <row r="16" spans="1:14" x14ac:dyDescent="0.35">
      <c r="B16" s="22"/>
      <c r="C16" s="22"/>
      <c r="D16" s="22"/>
      <c r="E16" s="164">
        <v>1.3599999999999999E-2</v>
      </c>
      <c r="F16" s="74"/>
      <c r="G16" s="74"/>
      <c r="H16" s="74"/>
      <c r="I16" s="74"/>
      <c r="J16" s="74"/>
      <c r="K16" s="74"/>
      <c r="L16" s="74"/>
      <c r="M16" s="74"/>
    </row>
    <row r="17" spans="2:13" x14ac:dyDescent="0.35">
      <c r="B17" s="22"/>
      <c r="C17" s="22"/>
      <c r="D17" s="22"/>
      <c r="E17" s="164">
        <v>1.4E-3</v>
      </c>
      <c r="F17" s="73"/>
      <c r="G17" s="73"/>
      <c r="H17" s="73"/>
      <c r="I17" s="73"/>
      <c r="J17" s="73"/>
      <c r="K17" s="73"/>
      <c r="L17" s="73"/>
      <c r="M17" s="73"/>
    </row>
    <row r="18" spans="2:13" x14ac:dyDescent="0.35">
      <c r="B18" s="192" t="s">
        <v>134</v>
      </c>
      <c r="C18" s="22"/>
      <c r="D18" s="22"/>
      <c r="E18" s="80">
        <v>2.3900000000000002E-3</v>
      </c>
      <c r="F18" s="76">
        <v>5.8560000000000001E-3</v>
      </c>
      <c r="G18" s="76"/>
      <c r="H18" s="76"/>
      <c r="I18" s="76"/>
      <c r="J18" s="76"/>
      <c r="K18" s="76"/>
      <c r="L18" s="76"/>
      <c r="M18" s="76"/>
    </row>
    <row r="19" spans="2:13" x14ac:dyDescent="0.35">
      <c r="B19" s="192" t="s">
        <v>135</v>
      </c>
      <c r="C19" s="22"/>
      <c r="D19" s="22"/>
      <c r="E19" s="163">
        <v>0.01</v>
      </c>
      <c r="F19" s="73">
        <v>0.01</v>
      </c>
      <c r="G19" s="73"/>
      <c r="H19" s="73"/>
      <c r="I19" s="73"/>
      <c r="J19" s="73"/>
      <c r="K19" s="73"/>
      <c r="L19" s="73"/>
      <c r="M19" s="73"/>
    </row>
    <row r="20" spans="2:13" x14ac:dyDescent="0.35">
      <c r="B20" s="22"/>
      <c r="C20" s="22"/>
      <c r="D20" s="22"/>
      <c r="E20" s="163">
        <v>0.01</v>
      </c>
      <c r="F20" s="73"/>
      <c r="G20" s="73"/>
      <c r="H20" s="73"/>
      <c r="I20" s="73"/>
      <c r="J20" s="73"/>
      <c r="K20" s="73"/>
      <c r="L20" s="73"/>
      <c r="M20" s="73"/>
    </row>
    <row r="21" spans="2:13" x14ac:dyDescent="0.35">
      <c r="B21" s="22"/>
      <c r="C21" s="22"/>
      <c r="D21" s="22"/>
      <c r="E21" s="77"/>
      <c r="F21" s="73"/>
      <c r="G21" s="73"/>
      <c r="H21" s="73"/>
      <c r="I21" s="73"/>
      <c r="J21" s="73"/>
      <c r="K21" s="73"/>
      <c r="L21" s="73"/>
      <c r="M21" s="73"/>
    </row>
    <row r="22" spans="2:13" x14ac:dyDescent="0.35">
      <c r="B22" s="24" t="s">
        <v>136</v>
      </c>
      <c r="C22" s="24"/>
      <c r="D22" s="24"/>
      <c r="E22" s="77"/>
      <c r="F22" s="73"/>
      <c r="G22" s="73"/>
      <c r="H22" s="73"/>
      <c r="I22" s="73"/>
      <c r="J22" s="73"/>
      <c r="K22" s="73"/>
      <c r="L22" s="73"/>
      <c r="M22" s="73"/>
    </row>
    <row r="23" spans="2:13" x14ac:dyDescent="0.35">
      <c r="B23" s="22" t="s">
        <v>115</v>
      </c>
      <c r="C23" s="76">
        <v>0.25697999999999999</v>
      </c>
      <c r="D23" s="76">
        <v>0.29198800908</v>
      </c>
      <c r="E23" s="76">
        <f>ROUND((E5*(1+E$11+E$13+E$14+E$16+E$17)+E$12+E$15+E$18)*(1+E$19+E$20),5)</f>
        <v>0.23859</v>
      </c>
      <c r="F23" s="76">
        <f>ROUND((F5*(1+F$19)+F$12+F$15+F$18),5)</f>
        <v>0.29049000000000003</v>
      </c>
      <c r="G23" s="78">
        <f>F23*(1+'Retail Rate Impact'!$C$29)</f>
        <v>0.29629980000000006</v>
      </c>
      <c r="H23" s="78">
        <f>G23*(1+'Retail Rate Impact'!$C$29)</f>
        <v>0.30222579600000005</v>
      </c>
      <c r="I23" s="78">
        <f>H23*(1+'Retail Rate Impact'!$C$29)</f>
        <v>0.30827031192000004</v>
      </c>
      <c r="J23" s="78">
        <f>I23*(1+'Retail Rate Impact'!$C$29)</f>
        <v>0.31443571815840005</v>
      </c>
      <c r="K23" s="78">
        <f>J23*(1+'Retail Rate Impact'!$C$29)</f>
        <v>0.32072443252156807</v>
      </c>
      <c r="L23" s="78">
        <f>K23*(1+'Retail Rate Impact'!$C$29)</f>
        <v>0.32713892117199944</v>
      </c>
      <c r="M23" s="73"/>
    </row>
    <row r="24" spans="2:13" x14ac:dyDescent="0.35">
      <c r="B24" s="22" t="s">
        <v>116</v>
      </c>
      <c r="C24" s="76">
        <v>0.17953</v>
      </c>
      <c r="D24" s="76">
        <v>0.20508737508000002</v>
      </c>
      <c r="E24" s="76">
        <f t="shared" ref="E24:E28" si="0">ROUND((E6*(1+E$11+E$13+E$14+E$16+E$17)+E$12+E$15+E$18)*(1+E$19+E$20),5)</f>
        <v>0.1782</v>
      </c>
      <c r="F24" s="76">
        <f t="shared" ref="F24:F28" si="1">ROUND((F6*(1+F$19)+F$12+F$15+F$18),5)</f>
        <v>0.12346</v>
      </c>
      <c r="G24" s="78">
        <f>F24*(1+'Retail Rate Impact'!$C$29)</f>
        <v>0.12592919999999999</v>
      </c>
      <c r="H24" s="78">
        <f>G24*(1+'Retail Rate Impact'!$C$29)</f>
        <v>0.12844778399999998</v>
      </c>
      <c r="I24" s="78">
        <f>H24*(1+'Retail Rate Impact'!$C$29)</f>
        <v>0.13101673967999999</v>
      </c>
      <c r="J24" s="78">
        <f>I24*(1+'Retail Rate Impact'!$C$29)</f>
        <v>0.13363707447359999</v>
      </c>
      <c r="K24" s="78">
        <f>J24*(1+'Retail Rate Impact'!$C$29)</f>
        <v>0.13630981596307198</v>
      </c>
      <c r="L24" s="78">
        <f>K24*(1+'Retail Rate Impact'!$C$29)</f>
        <v>0.13903601228233342</v>
      </c>
      <c r="M24" s="73"/>
    </row>
    <row r="25" spans="2:13" x14ac:dyDescent="0.35">
      <c r="B25" s="22" t="s">
        <v>117</v>
      </c>
      <c r="C25" s="76">
        <v>0.10211000000000001</v>
      </c>
      <c r="D25" s="76">
        <v>0.11820274488000002</v>
      </c>
      <c r="E25" s="76">
        <f t="shared" si="0"/>
        <v>0.11783</v>
      </c>
      <c r="F25" s="76">
        <f t="shared" si="1"/>
        <v>4.7890000000000002E-2</v>
      </c>
      <c r="G25" s="78">
        <f>F25*(1+'Retail Rate Impact'!$C$29)</f>
        <v>4.8847800000000004E-2</v>
      </c>
      <c r="H25" s="78">
        <f>G25*(1+'Retail Rate Impact'!$C$29)</f>
        <v>4.9824756000000005E-2</v>
      </c>
      <c r="I25" s="78">
        <f>H25*(1+'Retail Rate Impact'!$C$29)</f>
        <v>5.0821251120000008E-2</v>
      </c>
      <c r="J25" s="78">
        <f>I25*(1+'Retail Rate Impact'!$C$29)</f>
        <v>5.1837676142400008E-2</v>
      </c>
      <c r="K25" s="78">
        <f>J25*(1+'Retail Rate Impact'!$C$29)</f>
        <v>5.287442966524801E-2</v>
      </c>
      <c r="L25" s="78">
        <f>K25*(1+'Retail Rate Impact'!$C$29)</f>
        <v>5.3931918258552973E-2</v>
      </c>
      <c r="M25" s="73"/>
    </row>
    <row r="26" spans="2:13" x14ac:dyDescent="0.35">
      <c r="B26" s="22" t="s">
        <v>118</v>
      </c>
      <c r="C26" s="76">
        <v>0.16841999999999999</v>
      </c>
      <c r="D26" s="76">
        <v>0.18975573468000001</v>
      </c>
      <c r="E26" s="76">
        <f t="shared" si="0"/>
        <v>0.16755</v>
      </c>
      <c r="F26" s="76">
        <f t="shared" si="1"/>
        <v>0.26042999999999999</v>
      </c>
      <c r="G26" s="78">
        <f>F26*(1+'Retail Rate Impact'!$C$29)</f>
        <v>0.2656386</v>
      </c>
      <c r="H26" s="78">
        <f>G26*(1+'Retail Rate Impact'!$C$29)</f>
        <v>0.27095137200000002</v>
      </c>
      <c r="I26" s="78">
        <f>H26*(1+'Retail Rate Impact'!$C$29)</f>
        <v>0.27637039944000003</v>
      </c>
      <c r="J26" s="78">
        <f>I26*(1+'Retail Rate Impact'!$C$29)</f>
        <v>0.28189780742880005</v>
      </c>
      <c r="K26" s="78">
        <f>J26*(1+'Retail Rate Impact'!$C$29)</f>
        <v>0.28753576357737604</v>
      </c>
      <c r="L26" s="78">
        <f>K26*(1+'Retail Rate Impact'!$C$29)</f>
        <v>0.29328647884892356</v>
      </c>
      <c r="M26" s="73"/>
    </row>
    <row r="27" spans="2:13" x14ac:dyDescent="0.35">
      <c r="B27" s="22" t="s">
        <v>119</v>
      </c>
      <c r="C27" s="76">
        <v>0.13563</v>
      </c>
      <c r="D27" s="76">
        <v>0.15398724168</v>
      </c>
      <c r="E27" s="76">
        <f t="shared" si="0"/>
        <v>0.14269000000000001</v>
      </c>
      <c r="F27" s="76">
        <f t="shared" si="1"/>
        <v>0.10932</v>
      </c>
      <c r="G27" s="78">
        <f>F27*(1+'Retail Rate Impact'!$C$29)</f>
        <v>0.11150640000000001</v>
      </c>
      <c r="H27" s="78">
        <f>G27*(1+'Retail Rate Impact'!$C$29)</f>
        <v>0.113736528</v>
      </c>
      <c r="I27" s="78">
        <f>H27*(1+'Retail Rate Impact'!$C$29)</f>
        <v>0.11601125856000001</v>
      </c>
      <c r="J27" s="78">
        <f>I27*(1+'Retail Rate Impact'!$C$29)</f>
        <v>0.11833148373120002</v>
      </c>
      <c r="K27" s="78">
        <f>J27*(1+'Retail Rate Impact'!$C$29)</f>
        <v>0.12069811340582402</v>
      </c>
      <c r="L27" s="78">
        <f>K27*(1+'Retail Rate Impact'!$C$29)</f>
        <v>0.1231120756739405</v>
      </c>
      <c r="M27" s="73"/>
    </row>
    <row r="28" spans="2:13" x14ac:dyDescent="0.35">
      <c r="B28" s="22" t="s">
        <v>120</v>
      </c>
      <c r="C28" s="76">
        <v>0.10285</v>
      </c>
      <c r="D28" s="76">
        <v>0.11820274488000002</v>
      </c>
      <c r="E28" s="76">
        <f t="shared" si="0"/>
        <v>0.11783</v>
      </c>
      <c r="F28" s="76">
        <f t="shared" si="1"/>
        <v>4.7890000000000002E-2</v>
      </c>
      <c r="G28" s="78">
        <f>F28*(1+'Retail Rate Impact'!$C$29)</f>
        <v>4.8847800000000004E-2</v>
      </c>
      <c r="H28" s="78">
        <f>G28*(1+'Retail Rate Impact'!$C$29)</f>
        <v>4.9824756000000005E-2</v>
      </c>
      <c r="I28" s="78">
        <f>H28*(1+'Retail Rate Impact'!$C$29)</f>
        <v>5.0821251120000008E-2</v>
      </c>
      <c r="J28" s="78">
        <f>I28*(1+'Retail Rate Impact'!$C$29)</f>
        <v>5.1837676142400008E-2</v>
      </c>
      <c r="K28" s="78">
        <f>J28*(1+'Retail Rate Impact'!$C$29)</f>
        <v>5.287442966524801E-2</v>
      </c>
      <c r="L28" s="78">
        <f>K28*(1+'Retail Rate Impact'!$C$29)</f>
        <v>5.3931918258552973E-2</v>
      </c>
      <c r="M28" s="73"/>
    </row>
    <row r="29" spans="2:13" x14ac:dyDescent="0.35">
      <c r="B29" s="22"/>
      <c r="D29" s="22"/>
      <c r="E29" s="77"/>
      <c r="F29" s="76"/>
      <c r="G29" s="73"/>
      <c r="H29" s="73"/>
      <c r="I29" s="73"/>
      <c r="J29" s="73"/>
      <c r="K29" s="73"/>
      <c r="L29" s="73"/>
      <c r="M29" s="73"/>
    </row>
    <row r="30" spans="2:13" x14ac:dyDescent="0.35">
      <c r="B30" s="22"/>
      <c r="C30" s="22"/>
      <c r="D30" s="22"/>
    </row>
    <row r="31" spans="2:13" x14ac:dyDescent="0.35">
      <c r="B31" s="22"/>
      <c r="C31" s="22"/>
      <c r="D31" s="22"/>
    </row>
    <row r="32" spans="2:13" hidden="1" x14ac:dyDescent="0.35">
      <c r="B32" s="42" t="s">
        <v>103</v>
      </c>
      <c r="C32" s="22"/>
      <c r="D32" s="22"/>
    </row>
    <row r="33" spans="2:12" hidden="1" x14ac:dyDescent="0.35">
      <c r="B33" s="22" t="s">
        <v>121</v>
      </c>
      <c r="C33" s="22"/>
      <c r="D33" s="22"/>
      <c r="E33" s="81">
        <v>8.3559999999999995E-2</v>
      </c>
    </row>
    <row r="34" spans="2:12" hidden="1" x14ac:dyDescent="0.35">
      <c r="B34" s="22" t="s">
        <v>122</v>
      </c>
      <c r="C34" s="22"/>
      <c r="D34" s="22"/>
      <c r="E34" s="81">
        <v>7.1360000000000007E-2</v>
      </c>
    </row>
    <row r="35" spans="2:12" hidden="1" x14ac:dyDescent="0.35">
      <c r="B35" s="22" t="s">
        <v>137</v>
      </c>
      <c r="C35" s="22"/>
      <c r="D35" s="22"/>
      <c r="E35" s="165"/>
      <c r="F35" s="79"/>
      <c r="G35" s="79"/>
      <c r="H35" s="79"/>
      <c r="I35" s="79"/>
      <c r="J35" s="79"/>
      <c r="K35" s="79"/>
      <c r="L35" s="79"/>
    </row>
    <row r="36" spans="2:12" hidden="1" x14ac:dyDescent="0.35">
      <c r="B36" s="22" t="s">
        <v>138</v>
      </c>
      <c r="C36" s="22"/>
      <c r="D36" s="22"/>
      <c r="E36" s="81">
        <v>1.2710000000000001E-2</v>
      </c>
    </row>
    <row r="37" spans="2:12" hidden="1" x14ac:dyDescent="0.35">
      <c r="B37" s="22" t="s">
        <v>139</v>
      </c>
      <c r="C37" s="22"/>
      <c r="D37" s="22"/>
      <c r="E37" s="163">
        <v>5.0599999999999999E-2</v>
      </c>
      <c r="F37" s="72"/>
      <c r="G37" s="72"/>
      <c r="H37" s="72"/>
      <c r="I37" s="72"/>
      <c r="J37" s="72"/>
      <c r="K37" s="72"/>
      <c r="L37" s="72"/>
    </row>
    <row r="38" spans="2:12" hidden="1" x14ac:dyDescent="0.35">
      <c r="B38" s="22" t="s">
        <v>140</v>
      </c>
      <c r="C38" s="22"/>
      <c r="D38" s="22"/>
      <c r="E38" s="163">
        <v>2.47E-2</v>
      </c>
      <c r="F38" s="72"/>
      <c r="G38" s="72"/>
      <c r="H38" s="72"/>
      <c r="I38" s="72"/>
      <c r="J38" s="72"/>
      <c r="K38" s="72"/>
      <c r="L38" s="72"/>
    </row>
    <row r="39" spans="2:12" hidden="1" x14ac:dyDescent="0.35">
      <c r="B39" s="22" t="s">
        <v>141</v>
      </c>
      <c r="C39" s="22"/>
      <c r="D39" s="22"/>
      <c r="E39" s="81">
        <v>3.0779999999999998E-2</v>
      </c>
    </row>
    <row r="40" spans="2:12" hidden="1" x14ac:dyDescent="0.35">
      <c r="B40" s="22" t="s">
        <v>142</v>
      </c>
      <c r="C40" s="22"/>
      <c r="D40" s="22"/>
      <c r="E40" s="164">
        <v>1.3599999999999999E-2</v>
      </c>
      <c r="F40" s="75"/>
      <c r="G40" s="75"/>
      <c r="H40" s="75"/>
      <c r="I40" s="75"/>
      <c r="J40" s="75"/>
      <c r="K40" s="75"/>
      <c r="L40" s="75"/>
    </row>
    <row r="41" spans="2:12" hidden="1" x14ac:dyDescent="0.35">
      <c r="B41" s="22" t="s">
        <v>143</v>
      </c>
      <c r="C41" s="22"/>
      <c r="D41" s="22"/>
      <c r="E41" s="164">
        <v>1.4E-3</v>
      </c>
      <c r="F41" s="75"/>
      <c r="G41" s="75"/>
      <c r="H41" s="75"/>
      <c r="I41" s="75"/>
      <c r="J41" s="75"/>
      <c r="K41" s="75"/>
      <c r="L41" s="75"/>
    </row>
    <row r="42" spans="2:12" hidden="1" x14ac:dyDescent="0.35">
      <c r="B42" s="22" t="s">
        <v>144</v>
      </c>
      <c r="C42" s="22"/>
      <c r="D42" s="22"/>
      <c r="E42" s="81">
        <v>2.3900000000000002E-3</v>
      </c>
    </row>
    <row r="43" spans="2:12" hidden="1" x14ac:dyDescent="0.35">
      <c r="B43" s="22" t="s">
        <v>145</v>
      </c>
      <c r="C43" s="22"/>
      <c r="D43" s="22"/>
      <c r="E43" s="163">
        <v>0.01</v>
      </c>
      <c r="F43" s="72"/>
      <c r="G43" s="72"/>
      <c r="H43" s="72"/>
      <c r="I43" s="72"/>
      <c r="J43" s="72"/>
      <c r="K43" s="72"/>
      <c r="L43" s="72"/>
    </row>
    <row r="44" spans="2:12" hidden="1" x14ac:dyDescent="0.35">
      <c r="B44" s="22" t="s">
        <v>146</v>
      </c>
      <c r="C44" s="22"/>
      <c r="D44" s="22"/>
      <c r="E44" s="163">
        <v>0.01</v>
      </c>
      <c r="F44" s="72"/>
      <c r="G44" s="72"/>
      <c r="H44" s="72"/>
      <c r="I44" s="72"/>
      <c r="J44" s="72"/>
      <c r="K44" s="72"/>
      <c r="L44" s="72"/>
    </row>
    <row r="45" spans="2:12" hidden="1" x14ac:dyDescent="0.35">
      <c r="B45" s="22"/>
      <c r="C45" s="22"/>
      <c r="D45" s="22"/>
    </row>
    <row r="46" spans="2:12" hidden="1" x14ac:dyDescent="0.35">
      <c r="B46" s="24" t="s">
        <v>147</v>
      </c>
      <c r="C46" s="24"/>
      <c r="D46" s="24"/>
      <c r="E46" s="77"/>
      <c r="F46" s="73"/>
      <c r="G46" s="73"/>
      <c r="H46" s="73"/>
      <c r="I46" s="73"/>
      <c r="J46" s="73"/>
      <c r="K46" s="73"/>
      <c r="L46" s="73"/>
    </row>
    <row r="47" spans="2:12" hidden="1" x14ac:dyDescent="0.35">
      <c r="B47" s="22" t="s">
        <v>121</v>
      </c>
      <c r="C47" s="76">
        <v>0.12892999999999999</v>
      </c>
      <c r="D47" s="76">
        <v>0.13983392499999997</v>
      </c>
      <c r="E47" s="76">
        <f>ROUND((E33*(1+E$35+E$37+E$38+E$40+E$41)+E$36+E$39+E$42)*(1+E$43+E$44),5)</f>
        <v>0.13972999999999999</v>
      </c>
      <c r="F47" s="78">
        <f>E47*(1+'Retail Rate Impact'!$C$29)</f>
        <v>0.1425246</v>
      </c>
      <c r="G47" s="78">
        <f>F47*(1+'Retail Rate Impact'!$C$29)</f>
        <v>0.14537509200000001</v>
      </c>
      <c r="H47" s="78">
        <f>G47*(1+'Retail Rate Impact'!$C$29)</f>
        <v>0.14828259384</v>
      </c>
      <c r="I47" s="78">
        <f>H47*(1+'Retail Rate Impact'!$C$29)</f>
        <v>0.15124824571680001</v>
      </c>
      <c r="J47" s="78">
        <f>I47*(1+'Retail Rate Impact'!$C$29)</f>
        <v>0.15427321063113603</v>
      </c>
      <c r="K47" s="78">
        <f>J47*(1+'Retail Rate Impact'!$C$29)</f>
        <v>0.15735867484375876</v>
      </c>
      <c r="L47" s="78">
        <f>K47*(1+'Retail Rate Impact'!$C$29)</f>
        <v>0.16050584834063394</v>
      </c>
    </row>
    <row r="48" spans="2:12" hidden="1" x14ac:dyDescent="0.35">
      <c r="B48" s="22" t="s">
        <v>122</v>
      </c>
      <c r="C48" s="76">
        <v>0.11054</v>
      </c>
      <c r="D48" s="76">
        <v>0.12738992500000001</v>
      </c>
      <c r="E48" s="76">
        <f>ROUND((E34*(1+E$35+E$37+E$38+E$40+E$41)+E$36+E$39+E$42)*(1+E$43+E$44),5)</f>
        <v>0.12615999999999999</v>
      </c>
      <c r="F48" s="78">
        <f>E48*(1+'Retail Rate Impact'!$C$29)</f>
        <v>0.1286832</v>
      </c>
      <c r="G48" s="78">
        <f>F48*(1+'Retail Rate Impact'!$C$29)</f>
        <v>0.131256864</v>
      </c>
      <c r="H48" s="78">
        <f>G48*(1+'Retail Rate Impact'!$C$29)</f>
        <v>0.13388200128</v>
      </c>
      <c r="I48" s="78">
        <f>H48*(1+'Retail Rate Impact'!$C$29)</f>
        <v>0.1365596413056</v>
      </c>
      <c r="J48" s="78">
        <f>I48*(1+'Retail Rate Impact'!$C$29)</f>
        <v>0.139290834131712</v>
      </c>
      <c r="K48" s="78">
        <f>J48*(1+'Retail Rate Impact'!$C$29)</f>
        <v>0.14207665081434626</v>
      </c>
      <c r="L48" s="78">
        <f>K48*(1+'Retail Rate Impact'!$C$29)</f>
        <v>0.14491818383063318</v>
      </c>
    </row>
    <row r="49" spans="2:12" x14ac:dyDescent="0.35">
      <c r="B49" s="22"/>
      <c r="C49" s="22"/>
      <c r="D49" s="22"/>
    </row>
    <row r="51" spans="2:12" hidden="1" x14ac:dyDescent="0.35">
      <c r="B51" s="42" t="s">
        <v>106</v>
      </c>
      <c r="C51" s="42"/>
      <c r="D51" s="42"/>
    </row>
    <row r="52" spans="2:12" hidden="1" x14ac:dyDescent="0.35">
      <c r="B52" s="22" t="s">
        <v>115</v>
      </c>
      <c r="C52" s="22"/>
      <c r="D52" s="22"/>
      <c r="E52" s="81">
        <v>0.14352000000000001</v>
      </c>
    </row>
    <row r="53" spans="2:12" hidden="1" x14ac:dyDescent="0.35">
      <c r="B53" s="22" t="s">
        <v>116</v>
      </c>
      <c r="C53" s="22"/>
      <c r="D53" s="22"/>
      <c r="E53" s="81">
        <v>9.8339999999999997E-2</v>
      </c>
    </row>
    <row r="54" spans="2:12" hidden="1" x14ac:dyDescent="0.35">
      <c r="B54" s="22" t="s">
        <v>117</v>
      </c>
      <c r="C54" s="22"/>
      <c r="D54" s="22"/>
      <c r="E54" s="81">
        <v>5.3150000000000003E-2</v>
      </c>
    </row>
    <row r="55" spans="2:12" hidden="1" x14ac:dyDescent="0.35">
      <c r="B55" s="22" t="s">
        <v>118</v>
      </c>
      <c r="C55" s="22"/>
      <c r="D55" s="22"/>
      <c r="E55" s="81">
        <v>9.0359999999999996E-2</v>
      </c>
    </row>
    <row r="56" spans="2:12" hidden="1" x14ac:dyDescent="0.35">
      <c r="B56" s="22" t="s">
        <v>119</v>
      </c>
      <c r="C56" s="22"/>
      <c r="D56" s="22"/>
      <c r="E56" s="81">
        <v>7.1760000000000004E-2</v>
      </c>
    </row>
    <row r="57" spans="2:12" hidden="1" x14ac:dyDescent="0.35">
      <c r="B57" s="22" t="s">
        <v>120</v>
      </c>
      <c r="C57" s="22"/>
      <c r="D57" s="22"/>
      <c r="E57" s="81">
        <v>5.3150000000000003E-2</v>
      </c>
    </row>
    <row r="58" spans="2:12" hidden="1" x14ac:dyDescent="0.35">
      <c r="B58" s="22" t="s">
        <v>137</v>
      </c>
      <c r="C58" s="22"/>
      <c r="D58" s="22"/>
      <c r="E58" s="81"/>
      <c r="F58" s="79"/>
      <c r="G58" s="79"/>
      <c r="H58" s="79"/>
      <c r="I58" s="79"/>
      <c r="J58" s="79"/>
      <c r="K58" s="79"/>
      <c r="L58" s="79"/>
    </row>
    <row r="59" spans="2:12" hidden="1" x14ac:dyDescent="0.35">
      <c r="B59" s="22" t="s">
        <v>138</v>
      </c>
      <c r="C59" s="22"/>
      <c r="D59" s="22"/>
      <c r="E59" s="81">
        <v>1.2710000000000001E-2</v>
      </c>
    </row>
    <row r="60" spans="2:12" hidden="1" x14ac:dyDescent="0.35">
      <c r="B60" s="22" t="s">
        <v>139</v>
      </c>
      <c r="C60" s="22"/>
      <c r="D60" s="22"/>
      <c r="E60" s="163">
        <v>4.8899999999999999E-2</v>
      </c>
      <c r="F60" s="72"/>
      <c r="G60" s="72"/>
      <c r="H60" s="72"/>
      <c r="I60" s="72"/>
      <c r="J60" s="72"/>
      <c r="K60" s="72"/>
      <c r="L60" s="72"/>
    </row>
    <row r="61" spans="2:12" hidden="1" x14ac:dyDescent="0.35">
      <c r="B61" s="22" t="s">
        <v>140</v>
      </c>
      <c r="C61" s="22"/>
      <c r="D61" s="22"/>
      <c r="E61" s="163">
        <v>2.3900000000000001E-2</v>
      </c>
      <c r="F61" s="72"/>
      <c r="G61" s="72"/>
      <c r="H61" s="72"/>
      <c r="I61" s="72"/>
      <c r="J61" s="72"/>
      <c r="K61" s="72"/>
      <c r="L61" s="72"/>
    </row>
    <row r="62" spans="2:12" hidden="1" x14ac:dyDescent="0.35">
      <c r="B62" s="22" t="s">
        <v>141</v>
      </c>
      <c r="C62" s="22"/>
      <c r="D62" s="22"/>
      <c r="E62" s="81">
        <v>3.0779999999999998E-2</v>
      </c>
    </row>
    <row r="63" spans="2:12" hidden="1" x14ac:dyDescent="0.35">
      <c r="B63" s="22" t="s">
        <v>142</v>
      </c>
      <c r="C63" s="22"/>
      <c r="D63" s="22"/>
      <c r="E63" s="164">
        <v>1.3100000000000001E-2</v>
      </c>
      <c r="F63" s="75"/>
      <c r="G63" s="75"/>
      <c r="H63" s="75"/>
      <c r="I63" s="75"/>
      <c r="J63" s="75"/>
      <c r="K63" s="75"/>
      <c r="L63" s="75"/>
    </row>
    <row r="64" spans="2:12" hidden="1" x14ac:dyDescent="0.35">
      <c r="B64" s="22" t="s">
        <v>143</v>
      </c>
      <c r="C64" s="22"/>
      <c r="D64" s="22"/>
      <c r="E64" s="164">
        <v>1.5E-3</v>
      </c>
      <c r="F64" s="75"/>
      <c r="G64" s="75"/>
      <c r="H64" s="75"/>
      <c r="I64" s="75"/>
      <c r="J64" s="75"/>
      <c r="K64" s="75"/>
      <c r="L64" s="75"/>
    </row>
    <row r="65" spans="2:12" hidden="1" x14ac:dyDescent="0.35">
      <c r="B65" s="22" t="s">
        <v>144</v>
      </c>
      <c r="C65" s="22"/>
      <c r="D65" s="22"/>
      <c r="E65" s="81">
        <v>4.5300000000000002E-3</v>
      </c>
    </row>
    <row r="66" spans="2:12" hidden="1" x14ac:dyDescent="0.35">
      <c r="B66" s="22" t="s">
        <v>145</v>
      </c>
      <c r="C66" s="22"/>
      <c r="D66" s="22"/>
      <c r="E66" s="163">
        <v>0.01</v>
      </c>
      <c r="F66" s="72"/>
      <c r="G66" s="72"/>
      <c r="H66" s="72"/>
      <c r="I66" s="72"/>
      <c r="J66" s="72"/>
      <c r="K66" s="72"/>
      <c r="L66" s="72"/>
    </row>
    <row r="67" spans="2:12" hidden="1" x14ac:dyDescent="0.35">
      <c r="B67" s="22" t="s">
        <v>146</v>
      </c>
      <c r="C67" s="22"/>
      <c r="D67" s="22"/>
      <c r="E67" s="163">
        <v>0.01</v>
      </c>
      <c r="F67" s="72"/>
      <c r="G67" s="72"/>
      <c r="H67" s="72"/>
      <c r="I67" s="72"/>
      <c r="J67" s="72"/>
      <c r="K67" s="72"/>
      <c r="L67" s="72"/>
    </row>
    <row r="68" spans="2:12" hidden="1" x14ac:dyDescent="0.35">
      <c r="B68" s="22"/>
      <c r="C68" s="22"/>
      <c r="D68" s="22"/>
    </row>
    <row r="69" spans="2:12" hidden="1" x14ac:dyDescent="0.35">
      <c r="B69" s="24" t="s">
        <v>148</v>
      </c>
      <c r="C69" s="24"/>
      <c r="D69" s="24"/>
      <c r="E69" s="77"/>
      <c r="F69" s="73"/>
      <c r="G69" s="73"/>
      <c r="H69" s="73"/>
      <c r="I69" s="73"/>
      <c r="J69" s="73"/>
      <c r="K69" s="73"/>
      <c r="L69" s="73"/>
    </row>
    <row r="70" spans="2:12" hidden="1" x14ac:dyDescent="0.35">
      <c r="B70" s="22" t="s">
        <v>115</v>
      </c>
      <c r="C70" s="76"/>
      <c r="D70" s="76"/>
      <c r="E70" s="76">
        <f>ROUND((E52*(1+E$58+E$60+E$61+E$63+E$64)+E$59+E$62+E$65)*(1+E$66+E$67),5)</f>
        <v>0.20816999999999999</v>
      </c>
      <c r="F70" s="78">
        <f>E70*(1+'Retail Rate Impact'!$C$29)</f>
        <v>0.21233340000000001</v>
      </c>
      <c r="G70" s="78">
        <f>F70*(1+'Retail Rate Impact'!$C$29)</f>
        <v>0.21658006800000001</v>
      </c>
      <c r="H70" s="78">
        <f>G70*(1+'Retail Rate Impact'!$C$29)</f>
        <v>0.22091166936000001</v>
      </c>
      <c r="I70" s="78">
        <f>H70*(1+'Retail Rate Impact'!$C$29)</f>
        <v>0.22532990274720002</v>
      </c>
      <c r="J70" s="78">
        <f>I70*(1+'Retail Rate Impact'!$C$29)</f>
        <v>0.22983650080214402</v>
      </c>
      <c r="K70" s="78">
        <f>J70*(1+'Retail Rate Impact'!$C$29)</f>
        <v>0.2344332308181869</v>
      </c>
      <c r="L70" s="78">
        <f>K70*(1+'Retail Rate Impact'!$C$29)</f>
        <v>0.23912189543455065</v>
      </c>
    </row>
    <row r="71" spans="2:12" hidden="1" x14ac:dyDescent="0.35">
      <c r="B71" s="22" t="s">
        <v>116</v>
      </c>
      <c r="C71" s="76"/>
      <c r="D71" s="76"/>
      <c r="E71" s="76">
        <f t="shared" ref="E71:E75" si="2">ROUND((E53*(1+E$58+E$60+E$61+E$63+E$64)+E$59+E$62+E$65)*(1+E$66+E$67),5)</f>
        <v>0.15805</v>
      </c>
      <c r="F71" s="78">
        <f>E71*(1+'Retail Rate Impact'!$C$29)</f>
        <v>0.16121099999999999</v>
      </c>
      <c r="G71" s="78">
        <f>F71*(1+'Retail Rate Impact'!$C$29)</f>
        <v>0.16443521999999999</v>
      </c>
      <c r="H71" s="78">
        <f>G71*(1+'Retail Rate Impact'!$C$29)</f>
        <v>0.1677239244</v>
      </c>
      <c r="I71" s="78">
        <f>H71*(1+'Retail Rate Impact'!$C$29)</f>
        <v>0.171078402888</v>
      </c>
      <c r="J71" s="78">
        <f>I71*(1+'Retail Rate Impact'!$C$29)</f>
        <v>0.17449997094576</v>
      </c>
      <c r="K71" s="78">
        <f>J71*(1+'Retail Rate Impact'!$C$29)</f>
        <v>0.1779899703646752</v>
      </c>
      <c r="L71" s="78">
        <f>K71*(1+'Retail Rate Impact'!$C$29)</f>
        <v>0.18154976977196871</v>
      </c>
    </row>
    <row r="72" spans="2:12" hidden="1" x14ac:dyDescent="0.35">
      <c r="B72" s="22" t="s">
        <v>117</v>
      </c>
      <c r="C72" s="76"/>
      <c r="D72" s="76"/>
      <c r="E72" s="76">
        <f t="shared" si="2"/>
        <v>0.10793</v>
      </c>
      <c r="F72" s="78">
        <f>E72*(1+'Retail Rate Impact'!$C$29)</f>
        <v>0.11008859999999999</v>
      </c>
      <c r="G72" s="78">
        <f>F72*(1+'Retail Rate Impact'!$C$29)</f>
        <v>0.112290372</v>
      </c>
      <c r="H72" s="78">
        <f>G72*(1+'Retail Rate Impact'!$C$29)</f>
        <v>0.11453617944</v>
      </c>
      <c r="I72" s="78">
        <f>H72*(1+'Retail Rate Impact'!$C$29)</f>
        <v>0.1168269030288</v>
      </c>
      <c r="J72" s="78">
        <f>I72*(1+'Retail Rate Impact'!$C$29)</f>
        <v>0.119163441089376</v>
      </c>
      <c r="K72" s="78">
        <f>J72*(1+'Retail Rate Impact'!$C$29)</f>
        <v>0.12154670991116352</v>
      </c>
      <c r="L72" s="78">
        <f>K72*(1+'Retail Rate Impact'!$C$29)</f>
        <v>0.12397764410938679</v>
      </c>
    </row>
    <row r="73" spans="2:12" hidden="1" x14ac:dyDescent="0.35">
      <c r="B73" s="22" t="s">
        <v>118</v>
      </c>
      <c r="C73" s="76"/>
      <c r="D73" s="76"/>
      <c r="E73" s="76">
        <f t="shared" si="2"/>
        <v>0.1492</v>
      </c>
      <c r="F73" s="78">
        <f>E73*(1+'Retail Rate Impact'!$C$29)</f>
        <v>0.15218400000000001</v>
      </c>
      <c r="G73" s="78">
        <f>F73*(1+'Retail Rate Impact'!$C$29)</f>
        <v>0.15522768000000001</v>
      </c>
      <c r="H73" s="78">
        <f>G73*(1+'Retail Rate Impact'!$C$29)</f>
        <v>0.15833223360000001</v>
      </c>
      <c r="I73" s="78">
        <f>H73*(1+'Retail Rate Impact'!$C$29)</f>
        <v>0.16149887827200002</v>
      </c>
      <c r="J73" s="78">
        <f>I73*(1+'Retail Rate Impact'!$C$29)</f>
        <v>0.16472885583744001</v>
      </c>
      <c r="K73" s="78">
        <f>J73*(1+'Retail Rate Impact'!$C$29)</f>
        <v>0.16802343295418881</v>
      </c>
      <c r="L73" s="78">
        <f>K73*(1+'Retail Rate Impact'!$C$29)</f>
        <v>0.1713839016132726</v>
      </c>
    </row>
    <row r="74" spans="2:12" hidden="1" x14ac:dyDescent="0.35">
      <c r="B74" s="22" t="s">
        <v>119</v>
      </c>
      <c r="C74" s="76"/>
      <c r="D74" s="76"/>
      <c r="E74" s="76">
        <f t="shared" si="2"/>
        <v>0.12856999999999999</v>
      </c>
      <c r="F74" s="78">
        <f>E74*(1+'Retail Rate Impact'!$C$29)</f>
        <v>0.13114139999999999</v>
      </c>
      <c r="G74" s="78">
        <f>F74*(1+'Retail Rate Impact'!$C$29)</f>
        <v>0.13376422799999999</v>
      </c>
      <c r="H74" s="78">
        <f>G74*(1+'Retail Rate Impact'!$C$29)</f>
        <v>0.13643951255999998</v>
      </c>
      <c r="I74" s="78">
        <f>H74*(1+'Retail Rate Impact'!$C$29)</f>
        <v>0.13916830281119999</v>
      </c>
      <c r="J74" s="78">
        <f>I74*(1+'Retail Rate Impact'!$C$29)</f>
        <v>0.141951668867424</v>
      </c>
      <c r="K74" s="78">
        <f>J74*(1+'Retail Rate Impact'!$C$29)</f>
        <v>0.14479070224477247</v>
      </c>
      <c r="L74" s="78">
        <f>K74*(1+'Retail Rate Impact'!$C$29)</f>
        <v>0.14768651628966792</v>
      </c>
    </row>
    <row r="75" spans="2:12" hidden="1" x14ac:dyDescent="0.35">
      <c r="B75" s="22" t="s">
        <v>120</v>
      </c>
      <c r="C75" s="76"/>
      <c r="D75" s="76"/>
      <c r="E75" s="76">
        <f t="shared" si="2"/>
        <v>0.10793</v>
      </c>
      <c r="F75" s="78">
        <f>E75*(1+'Retail Rate Impact'!$C$29)</f>
        <v>0.11008859999999999</v>
      </c>
      <c r="G75" s="78">
        <f>F75*(1+'Retail Rate Impact'!$C$29)</f>
        <v>0.112290372</v>
      </c>
      <c r="H75" s="78">
        <f>G75*(1+'Retail Rate Impact'!$C$29)</f>
        <v>0.11453617944</v>
      </c>
      <c r="I75" s="78">
        <f>H75*(1+'Retail Rate Impact'!$C$29)</f>
        <v>0.1168269030288</v>
      </c>
      <c r="J75" s="78">
        <f>I75*(1+'Retail Rate Impact'!$C$29)</f>
        <v>0.119163441089376</v>
      </c>
      <c r="K75" s="78">
        <f>J75*(1+'Retail Rate Impact'!$C$29)</f>
        <v>0.12154670991116352</v>
      </c>
      <c r="L75" s="78">
        <f>K75*(1+'Retail Rate Impact'!$C$29)</f>
        <v>0.12397764410938679</v>
      </c>
    </row>
    <row r="76" spans="2:12" x14ac:dyDescent="0.35">
      <c r="B76" s="22" t="s">
        <v>67</v>
      </c>
      <c r="C76" s="22"/>
      <c r="D76" s="22"/>
      <c r="E76" s="193" t="s">
        <v>128</v>
      </c>
      <c r="F76" s="193" t="s">
        <v>129</v>
      </c>
    </row>
    <row r="77" spans="2:12" x14ac:dyDescent="0.35">
      <c r="F77" s="193">
        <v>2024</v>
      </c>
    </row>
    <row r="78" spans="2:12" x14ac:dyDescent="0.35">
      <c r="B78" s="42"/>
      <c r="C78" s="42"/>
      <c r="D78" s="42"/>
    </row>
    <row r="79" spans="2:12" x14ac:dyDescent="0.35">
      <c r="B79" s="22" t="s">
        <v>121</v>
      </c>
      <c r="C79" s="22"/>
      <c r="D79" s="22"/>
      <c r="E79" s="81">
        <v>8.8520000000000001E-2</v>
      </c>
      <c r="F79">
        <v>0.11738999999999999</v>
      </c>
    </row>
    <row r="80" spans="2:12" x14ac:dyDescent="0.35">
      <c r="B80" s="22" t="s">
        <v>122</v>
      </c>
      <c r="C80" s="22"/>
      <c r="D80" s="22"/>
      <c r="E80" s="81">
        <v>5.314E-2</v>
      </c>
      <c r="F80">
        <v>0.10034</v>
      </c>
    </row>
    <row r="81" spans="2:12" x14ac:dyDescent="0.35">
      <c r="B81" s="22"/>
      <c r="C81" s="22"/>
      <c r="D81" s="22"/>
      <c r="E81" s="165"/>
      <c r="F81" s="79"/>
      <c r="G81" s="79"/>
      <c r="H81" s="79"/>
      <c r="I81" s="79"/>
      <c r="J81" s="79"/>
      <c r="K81" s="79"/>
      <c r="L81" s="79"/>
    </row>
    <row r="82" spans="2:12" x14ac:dyDescent="0.35">
      <c r="B82" s="192" t="s">
        <v>132</v>
      </c>
      <c r="C82" s="22"/>
      <c r="D82" s="22"/>
      <c r="E82" s="81">
        <v>1.2710000000000001E-2</v>
      </c>
      <c r="F82">
        <v>2.225E-3</v>
      </c>
    </row>
    <row r="83" spans="2:12" x14ac:dyDescent="0.35">
      <c r="B83" s="192" t="s">
        <v>133</v>
      </c>
      <c r="C83" s="22"/>
      <c r="D83" s="22"/>
      <c r="E83" s="81">
        <v>3.2100000000000002E-3</v>
      </c>
      <c r="F83">
        <v>1.176E-3</v>
      </c>
    </row>
    <row r="84" spans="2:12" x14ac:dyDescent="0.35">
      <c r="B84" s="192" t="s">
        <v>134</v>
      </c>
      <c r="C84" s="22"/>
      <c r="D84" s="22"/>
      <c r="E84" s="81">
        <v>1.57E-3</v>
      </c>
      <c r="F84">
        <v>4.6020000000000002E-3</v>
      </c>
      <c r="H84">
        <v>0.98399999999999999</v>
      </c>
    </row>
    <row r="85" spans="2:12" x14ac:dyDescent="0.35">
      <c r="B85" s="22"/>
      <c r="C85" s="22"/>
      <c r="D85" s="22"/>
      <c r="E85" s="81">
        <v>3.0779999999999998E-2</v>
      </c>
      <c r="F85" s="76"/>
      <c r="G85" s="76"/>
      <c r="H85" s="76">
        <v>1.095</v>
      </c>
      <c r="I85" s="76"/>
      <c r="J85" s="76"/>
      <c r="K85" s="76"/>
      <c r="L85" s="76"/>
    </row>
    <row r="86" spans="2:12" x14ac:dyDescent="0.35">
      <c r="B86" s="22"/>
      <c r="C86" s="22"/>
      <c r="D86" s="22"/>
      <c r="E86" s="81">
        <v>8.5999999999999998E-4</v>
      </c>
      <c r="F86" s="76"/>
      <c r="G86" s="76"/>
      <c r="H86" s="76">
        <f>H85/H84</f>
        <v>1.1128048780487805</v>
      </c>
      <c r="I86" s="76"/>
      <c r="J86" s="76"/>
      <c r="K86" s="76"/>
      <c r="L86" s="76"/>
    </row>
    <row r="87" spans="2:12" x14ac:dyDescent="0.35">
      <c r="B87" s="22"/>
      <c r="C87" s="22"/>
      <c r="D87" s="22"/>
      <c r="E87" s="80">
        <v>1E-4</v>
      </c>
    </row>
    <row r="88" spans="2:12" x14ac:dyDescent="0.35">
      <c r="B88" s="22"/>
      <c r="C88" s="22"/>
      <c r="D88" s="22"/>
      <c r="E88" s="81">
        <v>4.5300000000000002E-3</v>
      </c>
    </row>
    <row r="89" spans="2:12" x14ac:dyDescent="0.35">
      <c r="B89" s="192" t="s">
        <v>135</v>
      </c>
      <c r="C89" s="22"/>
      <c r="D89" s="22"/>
      <c r="E89" s="163">
        <v>0.01</v>
      </c>
      <c r="F89" s="72">
        <v>0.01</v>
      </c>
      <c r="G89" s="72"/>
      <c r="H89" s="72"/>
      <c r="I89" s="72"/>
      <c r="J89" s="72"/>
      <c r="K89" s="72"/>
      <c r="L89" s="72"/>
    </row>
    <row r="90" spans="2:12" x14ac:dyDescent="0.35">
      <c r="B90" s="22"/>
      <c r="C90" s="22"/>
      <c r="D90" s="22"/>
      <c r="E90" s="163">
        <v>0.01</v>
      </c>
      <c r="F90" s="72"/>
      <c r="G90" s="72"/>
      <c r="H90" s="72"/>
      <c r="I90" s="72"/>
      <c r="J90" s="72"/>
      <c r="K90" s="72"/>
      <c r="L90" s="72"/>
    </row>
    <row r="91" spans="2:12" x14ac:dyDescent="0.35">
      <c r="B91" s="22"/>
      <c r="C91" s="22"/>
      <c r="D91" s="22"/>
    </row>
    <row r="92" spans="2:12" x14ac:dyDescent="0.35">
      <c r="B92" s="24" t="s">
        <v>149</v>
      </c>
      <c r="C92" s="24"/>
      <c r="D92" s="24"/>
      <c r="E92" s="77"/>
      <c r="F92" s="73"/>
      <c r="G92" s="73"/>
      <c r="H92" s="73"/>
      <c r="I92" s="73"/>
      <c r="J92" s="73"/>
      <c r="K92" s="73"/>
      <c r="L92" s="73"/>
    </row>
    <row r="93" spans="2:12" x14ac:dyDescent="0.35">
      <c r="B93" s="22" t="s">
        <v>121</v>
      </c>
      <c r="C93" s="76">
        <v>0.13561000000000001</v>
      </c>
      <c r="D93" s="76">
        <v>0.14371162500000001</v>
      </c>
      <c r="E93" s="76">
        <f>ROUND((E79*(1+E$81)+E$82+E$83+E$84+E$85+E$86+E$87+E$88)*(1+E$89+E$90),5)</f>
        <v>0.14513000000000001</v>
      </c>
      <c r="F93" s="76">
        <f>ROUND((F79*(1+F$89)+F$82+F$83+F$84+F$85+F$86+F$87+F$88),5)</f>
        <v>0.12656999999999999</v>
      </c>
      <c r="G93" s="78">
        <f>F93*(1+'Retail Rate Impact'!$C$29)</f>
        <v>0.12910139999999998</v>
      </c>
      <c r="H93" s="78">
        <f>G93*(1+'Retail Rate Impact'!$C$29)</f>
        <v>0.13168342799999999</v>
      </c>
      <c r="I93" s="78">
        <f>H93*(1+'Retail Rate Impact'!$C$29)</f>
        <v>0.13431709655999999</v>
      </c>
      <c r="J93" s="78">
        <f>I93*(1+'Retail Rate Impact'!$C$29)</f>
        <v>0.1370034384912</v>
      </c>
      <c r="K93" s="78">
        <f>J93*(1+'Retail Rate Impact'!$C$29)</f>
        <v>0.139743507261024</v>
      </c>
      <c r="L93" s="78">
        <f>K93*(1+'Retail Rate Impact'!$C$29)</f>
        <v>0.14253837740624448</v>
      </c>
    </row>
    <row r="94" spans="2:12" x14ac:dyDescent="0.35">
      <c r="B94" s="22" t="s">
        <v>122</v>
      </c>
      <c r="C94" s="76">
        <v>9.4960000000000003E-2</v>
      </c>
      <c r="D94" s="76">
        <v>0.10762402500000001</v>
      </c>
      <c r="E94" s="76">
        <f>ROUND((E80*(1+E$81)+E$82+E$83+E$84+E$85+E$86+E$87+E$88)*(1+E$89+E$90),5)</f>
        <v>0.10904</v>
      </c>
      <c r="F94" s="76">
        <f>ROUND((F80*(1+F$89)+F$82+F$83+F$84+F$85+F$86+F$87+F$88),5)</f>
        <v>0.10935</v>
      </c>
      <c r="G94" s="78">
        <f>F94*(1+'Retail Rate Impact'!$C$29)</f>
        <v>0.11153700000000001</v>
      </c>
      <c r="H94" s="78">
        <f>G94*(1+'Retail Rate Impact'!$C$29)</f>
        <v>0.11376774000000002</v>
      </c>
      <c r="I94" s="78">
        <f>H94*(1+'Retail Rate Impact'!$C$29)</f>
        <v>0.11604309480000002</v>
      </c>
      <c r="J94" s="78">
        <f>I94*(1+'Retail Rate Impact'!$C$29)</f>
        <v>0.11836395669600003</v>
      </c>
      <c r="K94" s="78">
        <f>J94*(1+'Retail Rate Impact'!$C$29)</f>
        <v>0.12073123582992003</v>
      </c>
      <c r="L94" s="78">
        <f>K94*(1+'Retail Rate Impact'!$C$29)</f>
        <v>0.12314586054651842</v>
      </c>
    </row>
    <row r="95" spans="2:12" x14ac:dyDescent="0.35">
      <c r="B95" s="22"/>
      <c r="C95" s="22"/>
      <c r="D95" s="22"/>
    </row>
    <row r="96" spans="2:12" hidden="1" x14ac:dyDescent="0.35"/>
    <row r="97" spans="2:12" hidden="1" x14ac:dyDescent="0.35">
      <c r="B97" s="42" t="s">
        <v>108</v>
      </c>
      <c r="C97" s="42"/>
      <c r="D97" s="42"/>
    </row>
    <row r="98" spans="2:12" hidden="1" x14ac:dyDescent="0.35">
      <c r="B98" s="22" t="s">
        <v>115</v>
      </c>
      <c r="C98" s="22"/>
      <c r="D98" s="22"/>
      <c r="E98" s="81">
        <v>6.9349999999999995E-2</v>
      </c>
    </row>
    <row r="99" spans="2:12" hidden="1" x14ac:dyDescent="0.35">
      <c r="B99" s="22" t="s">
        <v>117</v>
      </c>
      <c r="C99" s="22"/>
      <c r="D99" s="22"/>
      <c r="E99" s="81">
        <v>1.387E-2</v>
      </c>
    </row>
    <row r="100" spans="2:12" hidden="1" x14ac:dyDescent="0.35">
      <c r="B100" s="22" t="s">
        <v>118</v>
      </c>
      <c r="C100" s="22"/>
      <c r="D100" s="22"/>
      <c r="E100" s="81">
        <v>3.4669999999999999E-2</v>
      </c>
    </row>
    <row r="101" spans="2:12" hidden="1" x14ac:dyDescent="0.35">
      <c r="B101" s="22" t="s">
        <v>120</v>
      </c>
      <c r="C101" s="22"/>
      <c r="D101" s="22"/>
      <c r="E101" s="81">
        <v>6.9300000000000004E-3</v>
      </c>
    </row>
    <row r="102" spans="2:12" hidden="1" x14ac:dyDescent="0.35">
      <c r="B102" s="22" t="s">
        <v>123</v>
      </c>
      <c r="C102" s="22"/>
      <c r="D102" s="22"/>
      <c r="E102" s="81">
        <v>1.44</v>
      </c>
    </row>
    <row r="103" spans="2:12" hidden="1" x14ac:dyDescent="0.35">
      <c r="B103" s="22" t="s">
        <v>124</v>
      </c>
      <c r="C103" s="22"/>
      <c r="D103" s="22"/>
      <c r="E103" s="81">
        <v>3.01</v>
      </c>
    </row>
    <row r="104" spans="2:12" hidden="1" x14ac:dyDescent="0.35">
      <c r="B104" s="22" t="s">
        <v>125</v>
      </c>
      <c r="C104" s="22"/>
      <c r="D104" s="22"/>
      <c r="E104" s="81">
        <v>3.01</v>
      </c>
    </row>
    <row r="105" spans="2:12" hidden="1" x14ac:dyDescent="0.35">
      <c r="B105" s="22" t="s">
        <v>137</v>
      </c>
      <c r="C105" s="22"/>
      <c r="D105" s="22"/>
      <c r="E105" s="163">
        <v>0.11169999999999999</v>
      </c>
      <c r="F105" s="72"/>
      <c r="G105" s="72"/>
      <c r="H105" s="72"/>
      <c r="I105" s="72"/>
      <c r="J105" s="72"/>
      <c r="K105" s="72"/>
      <c r="L105" s="72"/>
    </row>
    <row r="106" spans="2:12" hidden="1" x14ac:dyDescent="0.35">
      <c r="B106" s="22" t="s">
        <v>138</v>
      </c>
      <c r="C106" s="22"/>
      <c r="D106" s="22"/>
      <c r="E106" s="81">
        <v>3.2299999999999998E-3</v>
      </c>
    </row>
    <row r="107" spans="2:12" hidden="1" x14ac:dyDescent="0.35">
      <c r="B107" s="22" t="s">
        <v>139</v>
      </c>
      <c r="C107" s="22"/>
      <c r="D107" s="22"/>
      <c r="E107" s="81">
        <v>8.4799999999999997E-3</v>
      </c>
      <c r="F107" s="76"/>
      <c r="G107" s="76"/>
      <c r="H107" s="76"/>
      <c r="I107" s="76"/>
      <c r="J107" s="76"/>
      <c r="K107" s="76"/>
      <c r="L107" s="76"/>
    </row>
    <row r="108" spans="2:12" hidden="1" x14ac:dyDescent="0.35">
      <c r="B108" s="22" t="s">
        <v>140</v>
      </c>
      <c r="C108" s="22"/>
      <c r="D108" s="22"/>
      <c r="E108" s="81">
        <v>4.47E-3</v>
      </c>
    </row>
    <row r="109" spans="2:12" hidden="1" x14ac:dyDescent="0.35">
      <c r="B109" s="22" t="s">
        <v>141</v>
      </c>
      <c r="C109" s="22"/>
      <c r="D109" s="22"/>
      <c r="E109" s="80">
        <v>3.0704999999999996E-2</v>
      </c>
      <c r="F109" s="76"/>
      <c r="G109" s="76"/>
      <c r="H109" s="76"/>
      <c r="I109" s="76"/>
      <c r="J109" s="76"/>
      <c r="K109" s="76"/>
      <c r="L109" s="76"/>
    </row>
    <row r="110" spans="2:12" hidden="1" x14ac:dyDescent="0.35">
      <c r="B110" s="22" t="s">
        <v>142</v>
      </c>
      <c r="C110" s="22"/>
      <c r="D110" s="22"/>
      <c r="E110" s="81">
        <v>2.2699999999999999E-3</v>
      </c>
      <c r="F110" s="76"/>
      <c r="G110" s="76"/>
      <c r="H110" s="76"/>
      <c r="I110" s="76"/>
      <c r="J110" s="76"/>
      <c r="K110" s="76"/>
      <c r="L110" s="76"/>
    </row>
    <row r="111" spans="2:12" hidden="1" x14ac:dyDescent="0.35">
      <c r="B111" s="22" t="s">
        <v>143</v>
      </c>
      <c r="C111" s="22"/>
      <c r="D111" s="22"/>
      <c r="E111" s="80">
        <v>2.5000000000000001E-4</v>
      </c>
    </row>
    <row r="112" spans="2:12" hidden="1" x14ac:dyDescent="0.35">
      <c r="B112" s="22" t="s">
        <v>144</v>
      </c>
      <c r="C112" s="22"/>
      <c r="D112" s="22"/>
      <c r="E112" s="81">
        <v>4.5300000000000002E-3</v>
      </c>
    </row>
    <row r="113" spans="2:12" hidden="1" x14ac:dyDescent="0.35">
      <c r="B113" s="22" t="s">
        <v>145</v>
      </c>
      <c r="C113" s="22"/>
      <c r="D113" s="22"/>
      <c r="E113" s="163">
        <v>0.01</v>
      </c>
      <c r="F113" s="72"/>
      <c r="G113" s="72"/>
      <c r="H113" s="72"/>
      <c r="I113" s="72"/>
      <c r="J113" s="72"/>
      <c r="K113" s="72"/>
      <c r="L113" s="72"/>
    </row>
    <row r="114" spans="2:12" hidden="1" x14ac:dyDescent="0.35">
      <c r="B114" s="22" t="s">
        <v>146</v>
      </c>
      <c r="C114" s="22"/>
      <c r="D114" s="22"/>
      <c r="E114" s="163">
        <v>0.01</v>
      </c>
      <c r="F114" s="72"/>
      <c r="G114" s="72"/>
      <c r="H114" s="72"/>
      <c r="I114" s="72"/>
      <c r="J114" s="72"/>
      <c r="K114" s="72"/>
      <c r="L114" s="72"/>
    </row>
    <row r="115" spans="2:12" hidden="1" x14ac:dyDescent="0.35">
      <c r="B115" s="22"/>
      <c r="C115" s="22"/>
      <c r="D115" s="22"/>
    </row>
    <row r="116" spans="2:12" hidden="1" x14ac:dyDescent="0.35">
      <c r="B116" s="24" t="s">
        <v>150</v>
      </c>
      <c r="C116" s="24"/>
      <c r="D116" s="24"/>
      <c r="E116" s="77"/>
      <c r="F116" s="73"/>
      <c r="G116" s="73"/>
      <c r="H116" s="73"/>
      <c r="I116" s="73"/>
      <c r="J116" s="73"/>
      <c r="K116" s="73"/>
      <c r="L116" s="73"/>
    </row>
    <row r="117" spans="2:12" hidden="1" x14ac:dyDescent="0.35">
      <c r="B117" s="22" t="s">
        <v>115</v>
      </c>
      <c r="C117" s="76"/>
      <c r="D117" s="76"/>
      <c r="E117" s="76">
        <f>ROUND((E98*(1+E$105)+E$106+E$107+E$108+E$109+E$110+E$111+E$112)*(1+E$113+E$114),5)</f>
        <v>0.13364999999999999</v>
      </c>
      <c r="F117" s="78">
        <f>E117*(1+'Retail Rate Impact'!$C$29)</f>
        <v>0.136323</v>
      </c>
      <c r="G117" s="78">
        <f>F117*(1+'Retail Rate Impact'!$C$29)</f>
        <v>0.13904946000000001</v>
      </c>
      <c r="H117" s="78">
        <f>G117*(1+'Retail Rate Impact'!$C$29)</f>
        <v>0.14183044920000001</v>
      </c>
      <c r="I117" s="78">
        <f>H117*(1+'Retail Rate Impact'!$C$29)</f>
        <v>0.14466705818400002</v>
      </c>
      <c r="J117" s="78">
        <f>I117*(1+'Retail Rate Impact'!$C$29)</f>
        <v>0.14756039934768003</v>
      </c>
      <c r="K117" s="78">
        <f>J117*(1+'Retail Rate Impact'!$C$29)</f>
        <v>0.15051160733463365</v>
      </c>
      <c r="L117" s="78">
        <f>K117*(1+'Retail Rate Impact'!$C$29)</f>
        <v>0.15352183948132633</v>
      </c>
    </row>
    <row r="118" spans="2:12" hidden="1" x14ac:dyDescent="0.35">
      <c r="B118" s="22" t="s">
        <v>117</v>
      </c>
      <c r="C118" s="76"/>
      <c r="D118" s="76"/>
      <c r="E118" s="76">
        <f t="shared" ref="E118:E121" si="3">ROUND((E99*(1+E$105)+E$106+E$107+E$108+E$109+E$110+E$111+E$112)*(1+E$113+E$114),5)</f>
        <v>7.0739999999999997E-2</v>
      </c>
      <c r="F118" s="78">
        <f>E118*(1+'Retail Rate Impact'!$C$29)</f>
        <v>7.2154800000000005E-2</v>
      </c>
      <c r="G118" s="78">
        <f>F118*(1+'Retail Rate Impact'!$C$29)</f>
        <v>7.359789600000001E-2</v>
      </c>
      <c r="H118" s="78">
        <f>G118*(1+'Retail Rate Impact'!$C$29)</f>
        <v>7.5069853920000013E-2</v>
      </c>
      <c r="I118" s="78">
        <f>H118*(1+'Retail Rate Impact'!$C$29)</f>
        <v>7.6571250998400009E-2</v>
      </c>
      <c r="J118" s="78">
        <f>I118*(1+'Retail Rate Impact'!$C$29)</f>
        <v>7.8102676018368011E-2</v>
      </c>
      <c r="K118" s="78">
        <f>J118*(1+'Retail Rate Impact'!$C$29)</f>
        <v>7.9664729538735379E-2</v>
      </c>
      <c r="L118" s="78">
        <f>K118*(1+'Retail Rate Impact'!$C$29)</f>
        <v>8.1258024129510095E-2</v>
      </c>
    </row>
    <row r="119" spans="2:12" hidden="1" x14ac:dyDescent="0.35">
      <c r="B119" s="22" t="s">
        <v>118</v>
      </c>
      <c r="C119" s="76"/>
      <c r="D119" s="76"/>
      <c r="E119" s="76">
        <f t="shared" si="3"/>
        <v>9.4329999999999997E-2</v>
      </c>
      <c r="F119" s="78">
        <f>E119*(1+'Retail Rate Impact'!$C$29)</f>
        <v>9.6216599999999999E-2</v>
      </c>
      <c r="G119" s="78">
        <f>F119*(1+'Retail Rate Impact'!$C$29)</f>
        <v>9.8140932E-2</v>
      </c>
      <c r="H119" s="78">
        <f>G119*(1+'Retail Rate Impact'!$C$29)</f>
        <v>0.10010375064</v>
      </c>
      <c r="I119" s="78">
        <f>H119*(1+'Retail Rate Impact'!$C$29)</f>
        <v>0.10210582565280001</v>
      </c>
      <c r="J119" s="78">
        <f>I119*(1+'Retail Rate Impact'!$C$29)</f>
        <v>0.104147942165856</v>
      </c>
      <c r="K119" s="78">
        <f>J119*(1+'Retail Rate Impact'!$C$29)</f>
        <v>0.10623090100917312</v>
      </c>
      <c r="L119" s="78">
        <f>K119*(1+'Retail Rate Impact'!$C$29)</f>
        <v>0.10835551902935658</v>
      </c>
    </row>
    <row r="120" spans="2:12" hidden="1" x14ac:dyDescent="0.35">
      <c r="B120" s="22" t="s">
        <v>120</v>
      </c>
      <c r="C120" s="76"/>
      <c r="D120" s="76"/>
      <c r="E120" s="76">
        <f t="shared" si="3"/>
        <v>6.2869999999999995E-2</v>
      </c>
      <c r="F120" s="78">
        <f>E120*(1+'Retail Rate Impact'!$C$29)</f>
        <v>6.4127400000000001E-2</v>
      </c>
      <c r="G120" s="78">
        <f>F120*(1+'Retail Rate Impact'!$C$29)</f>
        <v>6.5409947999999996E-2</v>
      </c>
      <c r="H120" s="78">
        <f>G120*(1+'Retail Rate Impact'!$C$29)</f>
        <v>6.6718146960000002E-2</v>
      </c>
      <c r="I120" s="78">
        <f>H120*(1+'Retail Rate Impact'!$C$29)</f>
        <v>6.8052509899200003E-2</v>
      </c>
      <c r="J120" s="78">
        <f>I120*(1+'Retail Rate Impact'!$C$29)</f>
        <v>6.941356009718401E-2</v>
      </c>
      <c r="K120" s="78">
        <f>J120*(1+'Retail Rate Impact'!$C$29)</f>
        <v>7.080183129912769E-2</v>
      </c>
      <c r="L120" s="78">
        <f>K120*(1+'Retail Rate Impact'!$C$29)</f>
        <v>7.2217867925110243E-2</v>
      </c>
    </row>
    <row r="121" spans="2:12" hidden="1" x14ac:dyDescent="0.35">
      <c r="B121" s="22" t="s">
        <v>123</v>
      </c>
      <c r="E121" s="76">
        <f t="shared" si="3"/>
        <v>1.68788</v>
      </c>
      <c r="F121" s="82">
        <f>E121*(1+'Retail Rate Impact'!$C$29)</f>
        <v>1.7216376</v>
      </c>
      <c r="G121" s="82">
        <f>F121*(1+'Retail Rate Impact'!$C$29)</f>
        <v>1.7560703520000001</v>
      </c>
      <c r="H121" s="82">
        <f>G121*(1+'Retail Rate Impact'!$C$29)</f>
        <v>1.7911917590400002</v>
      </c>
      <c r="I121" s="82">
        <f>H121*(1+'Retail Rate Impact'!$C$29)</f>
        <v>1.8270155942208002</v>
      </c>
      <c r="J121" s="82">
        <f>I121*(1+'Retail Rate Impact'!$C$29)</f>
        <v>1.8635559061052163</v>
      </c>
      <c r="K121" s="82">
        <f>J121*(1+'Retail Rate Impact'!$C$29)</f>
        <v>1.9008270242273206</v>
      </c>
      <c r="L121" s="82">
        <f>K121*(1+'Retail Rate Impact'!$C$29)</f>
        <v>1.9388435647118671</v>
      </c>
    </row>
    <row r="122" spans="2:12" hidden="1" x14ac:dyDescent="0.35">
      <c r="B122" s="22" t="s">
        <v>124</v>
      </c>
      <c r="C122" s="84"/>
      <c r="D122" s="84"/>
      <c r="E122" s="84">
        <f t="shared" ref="E122:E123" si="4">ROUND((E103*(1+E$105))*(1+E$113+E$114),2)</f>
        <v>3.41</v>
      </c>
      <c r="F122" s="82">
        <f>E122*(1+'Retail Rate Impact'!$C$29)</f>
        <v>3.4782000000000002</v>
      </c>
      <c r="G122" s="82">
        <f>F122*(1+'Retail Rate Impact'!$C$29)</f>
        <v>3.5477640000000004</v>
      </c>
      <c r="H122" s="82">
        <f>G122*(1+'Retail Rate Impact'!$C$29)</f>
        <v>3.6187192800000005</v>
      </c>
      <c r="I122" s="82">
        <f>H122*(1+'Retail Rate Impact'!$C$29)</f>
        <v>3.6910936656000004</v>
      </c>
      <c r="J122" s="82">
        <f>I122*(1+'Retail Rate Impact'!$C$29)</f>
        <v>3.7649155389120006</v>
      </c>
      <c r="K122" s="82">
        <f>J122*(1+'Retail Rate Impact'!$C$29)</f>
        <v>3.8402138496902407</v>
      </c>
      <c r="L122" s="82">
        <f>K122*(1+'Retail Rate Impact'!$C$29)</f>
        <v>3.9170181266840456</v>
      </c>
    </row>
    <row r="123" spans="2:12" hidden="1" x14ac:dyDescent="0.35">
      <c r="B123" s="22" t="s">
        <v>125</v>
      </c>
      <c r="C123" s="84"/>
      <c r="D123" s="84"/>
      <c r="E123" s="84">
        <f t="shared" si="4"/>
        <v>3.41</v>
      </c>
      <c r="F123" s="82">
        <f>E123*(1+'Retail Rate Impact'!$C$29)</f>
        <v>3.4782000000000002</v>
      </c>
      <c r="G123" s="82">
        <f>F123*(1+'Retail Rate Impact'!$C$29)</f>
        <v>3.5477640000000004</v>
      </c>
      <c r="H123" s="82">
        <f>G123*(1+'Retail Rate Impact'!$C$29)</f>
        <v>3.6187192800000005</v>
      </c>
      <c r="I123" s="82">
        <f>H123*(1+'Retail Rate Impact'!$C$29)</f>
        <v>3.6910936656000004</v>
      </c>
      <c r="J123" s="82">
        <f>I123*(1+'Retail Rate Impact'!$C$29)</f>
        <v>3.7649155389120006</v>
      </c>
      <c r="K123" s="82">
        <f>J123*(1+'Retail Rate Impact'!$C$29)</f>
        <v>3.8402138496902407</v>
      </c>
      <c r="L123" s="82">
        <f>K123*(1+'Retail Rate Impact'!$C$29)</f>
        <v>3.9170181266840456</v>
      </c>
    </row>
    <row r="124" spans="2:12" x14ac:dyDescent="0.35">
      <c r="B124" s="22"/>
      <c r="C124" s="22"/>
      <c r="D124" s="22"/>
    </row>
    <row r="126" spans="2:12" hidden="1" x14ac:dyDescent="0.35">
      <c r="B126" s="42" t="s">
        <v>112</v>
      </c>
      <c r="C126" s="42"/>
      <c r="D126" s="42"/>
    </row>
    <row r="127" spans="2:12" hidden="1" x14ac:dyDescent="0.35">
      <c r="B127" s="22" t="s">
        <v>121</v>
      </c>
      <c r="C127" s="22"/>
      <c r="D127" s="22"/>
      <c r="E127" s="81">
        <v>7.9100000000000004E-3</v>
      </c>
    </row>
    <row r="128" spans="2:12" hidden="1" x14ac:dyDescent="0.35">
      <c r="B128" s="22" t="s">
        <v>122</v>
      </c>
      <c r="C128" s="22"/>
      <c r="D128" s="22"/>
      <c r="E128" s="81">
        <v>7.9100000000000004E-3</v>
      </c>
    </row>
    <row r="129" spans="2:12" hidden="1" x14ac:dyDescent="0.35">
      <c r="B129" s="22" t="s">
        <v>124</v>
      </c>
      <c r="C129" s="22"/>
      <c r="D129" s="22"/>
      <c r="E129" s="81">
        <f>6.17+15.15</f>
        <v>21.32</v>
      </c>
    </row>
    <row r="130" spans="2:12" hidden="1" x14ac:dyDescent="0.35">
      <c r="B130" s="22" t="s">
        <v>125</v>
      </c>
      <c r="C130" s="22"/>
      <c r="D130" s="22"/>
      <c r="E130" s="81">
        <f>6.17+9.09</f>
        <v>15.26</v>
      </c>
    </row>
    <row r="131" spans="2:12" hidden="1" x14ac:dyDescent="0.35">
      <c r="B131" s="22" t="s">
        <v>137</v>
      </c>
      <c r="C131" s="22"/>
      <c r="D131" s="22"/>
      <c r="E131" s="163">
        <v>0.11169999999999999</v>
      </c>
      <c r="F131" s="72"/>
      <c r="G131" s="72"/>
      <c r="H131" s="72"/>
      <c r="I131" s="72"/>
      <c r="J131" s="72"/>
      <c r="K131" s="72"/>
      <c r="L131" s="72"/>
    </row>
    <row r="132" spans="2:12" hidden="1" x14ac:dyDescent="0.35">
      <c r="B132" s="22" t="s">
        <v>138</v>
      </c>
      <c r="C132" s="22"/>
      <c r="D132" s="22"/>
      <c r="E132" s="81">
        <v>3.2299999999999998E-3</v>
      </c>
    </row>
    <row r="133" spans="2:12" hidden="1" x14ac:dyDescent="0.35">
      <c r="B133" s="22" t="s">
        <v>139</v>
      </c>
      <c r="C133" s="22"/>
      <c r="D133" s="22"/>
      <c r="E133" s="81">
        <v>0.93</v>
      </c>
      <c r="F133" s="84"/>
      <c r="G133" s="84"/>
      <c r="H133" s="84"/>
      <c r="I133" s="84"/>
      <c r="J133" s="84"/>
      <c r="K133" s="84"/>
      <c r="L133" s="84"/>
    </row>
    <row r="134" spans="2:12" hidden="1" x14ac:dyDescent="0.35">
      <c r="B134" s="22" t="s">
        <v>140</v>
      </c>
      <c r="C134" s="22"/>
      <c r="D134" s="22"/>
      <c r="E134" s="81">
        <v>0.49</v>
      </c>
      <c r="F134" s="84"/>
      <c r="G134" s="84"/>
      <c r="H134" s="84"/>
      <c r="I134" s="84"/>
      <c r="J134" s="84"/>
      <c r="K134" s="84"/>
      <c r="L134" s="84"/>
    </row>
    <row r="135" spans="2:12" hidden="1" x14ac:dyDescent="0.35">
      <c r="B135" s="22" t="s">
        <v>141</v>
      </c>
      <c r="C135" s="22"/>
      <c r="D135" s="22"/>
      <c r="E135" s="81">
        <v>3.0779999999999998E-2</v>
      </c>
      <c r="F135" s="76"/>
      <c r="G135" s="76"/>
      <c r="H135" s="76"/>
      <c r="I135" s="76"/>
      <c r="J135" s="76"/>
      <c r="K135" s="76"/>
      <c r="L135" s="76"/>
    </row>
    <row r="136" spans="2:12" hidden="1" x14ac:dyDescent="0.35">
      <c r="B136" s="22" t="s">
        <v>142</v>
      </c>
      <c r="C136" s="22"/>
      <c r="D136" s="22"/>
      <c r="E136" s="83">
        <v>0.25</v>
      </c>
      <c r="F136" s="84"/>
      <c r="G136" s="84"/>
      <c r="H136" s="84"/>
      <c r="I136" s="84"/>
      <c r="J136" s="84"/>
      <c r="K136" s="84"/>
      <c r="L136" s="84"/>
    </row>
    <row r="137" spans="2:12" hidden="1" x14ac:dyDescent="0.35">
      <c r="B137" s="22" t="s">
        <v>143</v>
      </c>
      <c r="C137" s="22"/>
      <c r="D137" s="22"/>
      <c r="E137" s="83">
        <v>0.03</v>
      </c>
      <c r="F137" s="84"/>
      <c r="G137" s="84"/>
      <c r="H137" s="84"/>
      <c r="I137" s="84"/>
      <c r="J137" s="84"/>
      <c r="K137" s="84"/>
      <c r="L137" s="84"/>
    </row>
    <row r="138" spans="2:12" hidden="1" x14ac:dyDescent="0.35">
      <c r="B138" s="22" t="s">
        <v>144</v>
      </c>
      <c r="C138" s="22"/>
      <c r="D138" s="22"/>
      <c r="E138" s="81">
        <v>4.5300000000000002E-3</v>
      </c>
    </row>
    <row r="139" spans="2:12" hidden="1" x14ac:dyDescent="0.35">
      <c r="B139" s="22" t="s">
        <v>145</v>
      </c>
      <c r="C139" s="22"/>
      <c r="D139" s="22"/>
      <c r="E139" s="163">
        <v>0.01</v>
      </c>
      <c r="F139" s="72"/>
      <c r="G139" s="72"/>
      <c r="H139" s="72"/>
      <c r="I139" s="72"/>
      <c r="J139" s="72"/>
      <c r="K139" s="72"/>
      <c r="L139" s="72"/>
    </row>
    <row r="140" spans="2:12" hidden="1" x14ac:dyDescent="0.35">
      <c r="B140" s="22" t="s">
        <v>146</v>
      </c>
      <c r="C140" s="22"/>
      <c r="D140" s="22"/>
      <c r="E140" s="163">
        <v>0.01</v>
      </c>
      <c r="F140" s="72"/>
      <c r="G140" s="72"/>
      <c r="H140" s="72"/>
      <c r="I140" s="72"/>
      <c r="J140" s="72"/>
      <c r="K140" s="72"/>
      <c r="L140" s="72"/>
    </row>
    <row r="141" spans="2:12" hidden="1" x14ac:dyDescent="0.35">
      <c r="B141" s="22"/>
      <c r="C141" s="22"/>
      <c r="D141" s="22"/>
    </row>
    <row r="142" spans="2:12" hidden="1" x14ac:dyDescent="0.35">
      <c r="B142" s="24" t="s">
        <v>151</v>
      </c>
      <c r="C142" s="24"/>
      <c r="D142" s="24"/>
      <c r="E142" s="77"/>
      <c r="F142" s="73"/>
      <c r="G142" s="73"/>
      <c r="H142" s="73"/>
      <c r="I142" s="73"/>
      <c r="J142" s="73"/>
      <c r="K142" s="73"/>
      <c r="L142" s="73"/>
    </row>
    <row r="143" spans="2:12" hidden="1" x14ac:dyDescent="0.35">
      <c r="B143" s="22" t="s">
        <v>121</v>
      </c>
      <c r="C143" s="76">
        <v>4.6629999999999998E-2</v>
      </c>
      <c r="D143" s="76">
        <v>4.8904969130000003E-2</v>
      </c>
      <c r="E143" s="76">
        <f>ROUND((E127*(1+E$131)+E$132+E$135+E$138)*(1+E$139+E$140),5)</f>
        <v>4.8280000000000003E-2</v>
      </c>
      <c r="F143" s="78">
        <f>E143*(1+'Retail Rate Impact'!$C$29)</f>
        <v>4.9245600000000007E-2</v>
      </c>
      <c r="G143" s="78">
        <f>F143*(1+'Retail Rate Impact'!$C$29)</f>
        <v>5.0230512000000012E-2</v>
      </c>
      <c r="H143" s="78">
        <f>G143*(1+'Retail Rate Impact'!$C$29)</f>
        <v>5.1235122240000014E-2</v>
      </c>
      <c r="I143" s="78">
        <f>H143*(1+'Retail Rate Impact'!$C$29)</f>
        <v>5.2259824684800012E-2</v>
      </c>
      <c r="J143" s="78">
        <f>I143*(1+'Retail Rate Impact'!$C$29)</f>
        <v>5.3305021178496011E-2</v>
      </c>
      <c r="K143" s="78">
        <f>J143*(1+'Retail Rate Impact'!$C$29)</f>
        <v>5.4371121602065933E-2</v>
      </c>
      <c r="L143" s="78">
        <f>K143*(1+'Retail Rate Impact'!$C$29)</f>
        <v>5.545854403410725E-2</v>
      </c>
    </row>
    <row r="144" spans="2:12" hidden="1" x14ac:dyDescent="0.35">
      <c r="B144" s="22" t="s">
        <v>122</v>
      </c>
      <c r="C144" s="76">
        <v>4.6629999999999998E-2</v>
      </c>
      <c r="D144" s="76">
        <v>4.8904969130000003E-2</v>
      </c>
      <c r="E144" s="76">
        <f>ROUND((E128*(1+E$131)+E$132+E$135+E$138)*(1+E$139+E$140),5)</f>
        <v>4.8280000000000003E-2</v>
      </c>
      <c r="F144" s="78">
        <f>E144*(1+'Retail Rate Impact'!$C$29)</f>
        <v>4.9245600000000007E-2</v>
      </c>
      <c r="G144" s="78">
        <f>F144*(1+'Retail Rate Impact'!$C$29)</f>
        <v>5.0230512000000012E-2</v>
      </c>
      <c r="H144" s="78">
        <f>G144*(1+'Retail Rate Impact'!$C$29)</f>
        <v>5.1235122240000014E-2</v>
      </c>
      <c r="I144" s="78">
        <f>H144*(1+'Retail Rate Impact'!$C$29)</f>
        <v>5.2259824684800012E-2</v>
      </c>
      <c r="J144" s="78">
        <f>I144*(1+'Retail Rate Impact'!$C$29)</f>
        <v>5.3305021178496011E-2</v>
      </c>
      <c r="K144" s="78">
        <f>J144*(1+'Retail Rate Impact'!$C$29)</f>
        <v>5.4371121602065933E-2</v>
      </c>
      <c r="L144" s="78">
        <f>K144*(1+'Retail Rate Impact'!$C$29)</f>
        <v>5.545854403410725E-2</v>
      </c>
    </row>
    <row r="145" spans="2:12" hidden="1" x14ac:dyDescent="0.35">
      <c r="B145" s="22" t="s">
        <v>124</v>
      </c>
      <c r="C145" s="84">
        <v>23.77</v>
      </c>
      <c r="D145" s="84">
        <v>25.27</v>
      </c>
      <c r="E145" s="84">
        <f>ROUND((E129*(1+E$131)+E$133+E$134+E$136+E$137)*(1+E$139+E$140),2)</f>
        <v>25.91</v>
      </c>
      <c r="F145" s="82">
        <f>E145*(1+'Retail Rate Impact'!$C$29)</f>
        <v>26.4282</v>
      </c>
      <c r="G145" s="82">
        <f>F145*(1+'Retail Rate Impact'!$C$29)</f>
        <v>26.956764</v>
      </c>
      <c r="H145" s="82">
        <f>G145*(1+'Retail Rate Impact'!$C$29)</f>
        <v>27.49589928</v>
      </c>
      <c r="I145" s="82">
        <f>H145*(1+'Retail Rate Impact'!$C$29)</f>
        <v>28.0458172656</v>
      </c>
      <c r="J145" s="82">
        <f>I145*(1+'Retail Rate Impact'!$C$29)</f>
        <v>28.606733610912002</v>
      </c>
      <c r="K145" s="82">
        <f>J145*(1+'Retail Rate Impact'!$C$29)</f>
        <v>29.178868283130242</v>
      </c>
      <c r="L145" s="82">
        <f>K145*(1+'Retail Rate Impact'!$C$29)</f>
        <v>29.762445648792848</v>
      </c>
    </row>
    <row r="146" spans="2:12" hidden="1" x14ac:dyDescent="0.35">
      <c r="B146" s="22" t="s">
        <v>125</v>
      </c>
      <c r="C146" s="84">
        <v>18.63</v>
      </c>
      <c r="D146" s="84">
        <v>18.64</v>
      </c>
      <c r="E146" s="84">
        <f>ROUND((E130*(1+E$131)+E$133+E$134+E$136+E$137)*(1+E$139+E$140),2)</f>
        <v>19.04</v>
      </c>
      <c r="F146" s="82">
        <f>E146*(1+'Retail Rate Impact'!$C$29)</f>
        <v>19.4208</v>
      </c>
      <c r="G146" s="82">
        <f>F146*(1+'Retail Rate Impact'!$C$29)</f>
        <v>19.809215999999999</v>
      </c>
      <c r="H146" s="82">
        <f>G146*(1+'Retail Rate Impact'!$C$29)</f>
        <v>20.205400319999999</v>
      </c>
      <c r="I146" s="82">
        <f>H146*(1+'Retail Rate Impact'!$C$29)</f>
        <v>20.6095083264</v>
      </c>
      <c r="J146" s="82">
        <f>I146*(1+'Retail Rate Impact'!$C$29)</f>
        <v>21.021698492928</v>
      </c>
      <c r="K146" s="82">
        <f>J146*(1+'Retail Rate Impact'!$C$29)</f>
        <v>21.44213246278656</v>
      </c>
      <c r="L146" s="82">
        <f>K146*(1+'Retail Rate Impact'!$C$29)</f>
        <v>21.870975112042291</v>
      </c>
    </row>
    <row r="147" spans="2:12" x14ac:dyDescent="0.35">
      <c r="B147" s="22"/>
      <c r="C147" s="22"/>
      <c r="D147" s="22"/>
    </row>
    <row r="148" spans="2:12" x14ac:dyDescent="0.35">
      <c r="B148" s="22"/>
      <c r="C148" s="22"/>
      <c r="D148" s="22"/>
      <c r="F148" s="193">
        <v>2024</v>
      </c>
    </row>
    <row r="149" spans="2:12" x14ac:dyDescent="0.35">
      <c r="B149" s="42" t="s">
        <v>70</v>
      </c>
      <c r="C149" s="42"/>
      <c r="D149" s="42"/>
      <c r="E149" s="193" t="s">
        <v>128</v>
      </c>
      <c r="F149" s="193" t="s">
        <v>129</v>
      </c>
    </row>
    <row r="150" spans="2:12" x14ac:dyDescent="0.35">
      <c r="B150" s="22" t="s">
        <v>97</v>
      </c>
      <c r="C150" s="22"/>
      <c r="D150" s="22"/>
      <c r="E150" s="81">
        <v>0.13023999999999999</v>
      </c>
      <c r="F150">
        <v>0.52576000000000001</v>
      </c>
    </row>
    <row r="151" spans="2:12" x14ac:dyDescent="0.35">
      <c r="B151" s="22" t="s">
        <v>98</v>
      </c>
      <c r="C151" s="22"/>
      <c r="D151" s="22"/>
      <c r="E151" s="81"/>
      <c r="F151">
        <v>0.39012999999999998</v>
      </c>
    </row>
    <row r="152" spans="2:12" x14ac:dyDescent="0.35">
      <c r="B152" s="22" t="s">
        <v>99</v>
      </c>
      <c r="C152" s="22"/>
      <c r="D152" s="22"/>
      <c r="E152" s="81">
        <v>2.605E-2</v>
      </c>
      <c r="F152">
        <v>0.32784000000000002</v>
      </c>
    </row>
    <row r="153" spans="2:12" x14ac:dyDescent="0.35">
      <c r="B153" s="22" t="s">
        <v>100</v>
      </c>
      <c r="C153" s="22"/>
      <c r="D153" s="22"/>
      <c r="E153" s="81">
        <v>6.5119999999999997E-2</v>
      </c>
      <c r="F153">
        <v>0.49265999999999999</v>
      </c>
    </row>
    <row r="154" spans="2:12" x14ac:dyDescent="0.35">
      <c r="B154" s="22" t="s">
        <v>101</v>
      </c>
      <c r="C154" s="22"/>
      <c r="D154" s="22"/>
      <c r="E154" s="81"/>
      <c r="F154">
        <v>0.37514999999999998</v>
      </c>
    </row>
    <row r="155" spans="2:12" x14ac:dyDescent="0.35">
      <c r="B155" s="22" t="s">
        <v>102</v>
      </c>
      <c r="C155" s="22"/>
      <c r="D155" s="22"/>
      <c r="E155" s="81">
        <v>1.302E-2</v>
      </c>
      <c r="F155">
        <v>0.32784000000000002</v>
      </c>
    </row>
    <row r="156" spans="2:12" x14ac:dyDescent="0.35">
      <c r="B156" s="22" t="s">
        <v>124</v>
      </c>
      <c r="C156" s="22"/>
      <c r="D156" s="22"/>
      <c r="E156" s="81">
        <v>3.01</v>
      </c>
    </row>
    <row r="157" spans="2:12" x14ac:dyDescent="0.35">
      <c r="B157" s="22" t="s">
        <v>125</v>
      </c>
      <c r="C157" s="22"/>
      <c r="D157" s="22"/>
      <c r="E157" s="81">
        <v>3.01</v>
      </c>
    </row>
    <row r="158" spans="2:12" x14ac:dyDescent="0.35">
      <c r="B158" s="22"/>
      <c r="C158" s="22"/>
      <c r="D158" s="22"/>
      <c r="E158" s="163">
        <v>0.11169999999999999</v>
      </c>
      <c r="F158" s="72"/>
      <c r="G158" s="72"/>
      <c r="H158" s="72"/>
      <c r="I158" s="72"/>
      <c r="J158" s="72"/>
      <c r="K158" s="72"/>
      <c r="L158" s="72"/>
    </row>
    <row r="159" spans="2:12" x14ac:dyDescent="0.35">
      <c r="B159" s="192" t="s">
        <v>132</v>
      </c>
      <c r="C159" s="22"/>
      <c r="D159" s="22"/>
      <c r="E159" s="81">
        <v>3.2299999999999998E-3</v>
      </c>
      <c r="F159">
        <v>2.225E-3</v>
      </c>
    </row>
    <row r="160" spans="2:12" x14ac:dyDescent="0.35">
      <c r="B160" s="192" t="s">
        <v>133</v>
      </c>
      <c r="C160" s="22"/>
      <c r="D160" s="22"/>
      <c r="E160" s="81">
        <v>8.4799999999999997E-3</v>
      </c>
      <c r="F160">
        <v>1.176E-3</v>
      </c>
      <c r="G160" s="76"/>
      <c r="H160" s="76"/>
      <c r="I160" s="76"/>
      <c r="J160" s="76"/>
      <c r="K160" s="76"/>
      <c r="L160" s="76"/>
    </row>
    <row r="161" spans="2:12" x14ac:dyDescent="0.35">
      <c r="B161" s="192" t="s">
        <v>134</v>
      </c>
      <c r="C161" s="22"/>
      <c r="D161" s="22"/>
      <c r="E161" s="81">
        <v>4.47E-3</v>
      </c>
      <c r="F161" s="222">
        <v>5.8560000000000001E-3</v>
      </c>
    </row>
    <row r="162" spans="2:12" x14ac:dyDescent="0.35">
      <c r="B162" s="22"/>
      <c r="C162" s="22"/>
      <c r="D162" s="22"/>
      <c r="E162" s="80">
        <v>3.0704999999999996E-2</v>
      </c>
      <c r="F162" s="76"/>
      <c r="G162" s="76"/>
      <c r="H162" s="76"/>
      <c r="I162" s="76"/>
      <c r="J162" s="76"/>
      <c r="K162" s="76"/>
      <c r="L162" s="76"/>
    </row>
    <row r="163" spans="2:12" x14ac:dyDescent="0.35">
      <c r="B163" s="22"/>
      <c r="C163" s="22"/>
      <c r="D163" s="22"/>
      <c r="E163" s="81">
        <v>2.2699999999999999E-3</v>
      </c>
      <c r="F163" s="76"/>
      <c r="G163" s="76"/>
      <c r="H163" s="76"/>
      <c r="I163" s="76"/>
      <c r="J163" s="76"/>
      <c r="K163" s="76"/>
      <c r="L163" s="76"/>
    </row>
    <row r="164" spans="2:12" x14ac:dyDescent="0.35">
      <c r="B164" s="22"/>
      <c r="C164" s="22"/>
      <c r="D164" s="22"/>
      <c r="E164" s="80">
        <v>2.5000000000000001E-4</v>
      </c>
      <c r="G164" s="76"/>
      <c r="H164" s="76"/>
      <c r="I164" s="76"/>
      <c r="J164" s="76"/>
      <c r="K164" s="76"/>
      <c r="L164" s="76"/>
    </row>
    <row r="165" spans="2:12" x14ac:dyDescent="0.35">
      <c r="B165" s="22"/>
      <c r="C165" s="22"/>
      <c r="D165" s="22"/>
      <c r="E165" s="81">
        <v>4.5300000000000002E-3</v>
      </c>
    </row>
    <row r="166" spans="2:12" x14ac:dyDescent="0.35">
      <c r="B166" s="192" t="s">
        <v>135</v>
      </c>
      <c r="C166" s="22"/>
      <c r="D166" s="22"/>
      <c r="E166" s="163">
        <v>0.01</v>
      </c>
      <c r="F166" s="72">
        <v>0.01</v>
      </c>
      <c r="G166" s="72"/>
      <c r="H166" s="72"/>
      <c r="I166" s="72"/>
      <c r="J166" s="72"/>
      <c r="K166" s="72"/>
      <c r="L166" s="72"/>
    </row>
    <row r="167" spans="2:12" x14ac:dyDescent="0.35">
      <c r="B167" s="22"/>
      <c r="C167" s="22"/>
      <c r="D167" s="22"/>
      <c r="E167" s="163">
        <v>0.01</v>
      </c>
      <c r="F167" s="72"/>
      <c r="G167" s="72"/>
      <c r="H167" s="72"/>
      <c r="I167" s="72"/>
      <c r="J167" s="72"/>
      <c r="K167" s="72"/>
      <c r="L167" s="72"/>
    </row>
    <row r="169" spans="2:12" x14ac:dyDescent="0.35">
      <c r="B169" s="24" t="s">
        <v>152</v>
      </c>
      <c r="C169" s="24"/>
      <c r="D169" s="24"/>
      <c r="E169" s="77"/>
      <c r="F169" s="73"/>
      <c r="G169" s="73"/>
      <c r="H169" s="73"/>
      <c r="I169" s="73"/>
      <c r="J169" s="73"/>
      <c r="K169" s="73"/>
      <c r="L169" s="73"/>
    </row>
    <row r="170" spans="2:12" x14ac:dyDescent="0.35">
      <c r="B170" s="22" t="s">
        <v>97</v>
      </c>
      <c r="C170" s="76">
        <v>0.19062999999999999</v>
      </c>
      <c r="D170" s="76">
        <v>0.20429194684153293</v>
      </c>
      <c r="E170" s="76">
        <f t="shared" ref="E170:E175" si="5">ROUND((E150*(1+E$158)+E$159+E$160+E$161+E$162+E$163+E$164+E$165)*(1+E$166+E$167),5)</f>
        <v>0.20269999999999999</v>
      </c>
      <c r="F170" s="76">
        <f>ROUND((F150*(1+F$166)+F$159+F$160+F$161),5)</f>
        <v>0.54027000000000003</v>
      </c>
      <c r="G170" s="78">
        <f>F170*(1+'Retail Rate Impact'!$C$29)</f>
        <v>0.55107539999999999</v>
      </c>
      <c r="H170" s="78">
        <f>G170*(1+'Retail Rate Impact'!$C$29)</f>
        <v>0.56209690800000001</v>
      </c>
      <c r="I170" s="78">
        <f>H170*(1+'Retail Rate Impact'!$C$29)</f>
        <v>0.57333884615999997</v>
      </c>
      <c r="J170" s="78">
        <f>I170*(1+'Retail Rate Impact'!$C$29)</f>
        <v>0.58480562308319994</v>
      </c>
      <c r="K170" s="78">
        <f>J170*(1+'Retail Rate Impact'!$C$29)</f>
        <v>0.59650173554486396</v>
      </c>
      <c r="L170" s="78">
        <f>K170*(1+'Retail Rate Impact'!$C$29)</f>
        <v>0.60843177025576123</v>
      </c>
    </row>
    <row r="171" spans="2:12" x14ac:dyDescent="0.35">
      <c r="B171" s="22" t="s">
        <v>98</v>
      </c>
      <c r="C171" s="76"/>
      <c r="D171" s="76"/>
      <c r="E171" s="76">
        <f t="shared" si="5"/>
        <v>5.5010000000000003E-2</v>
      </c>
      <c r="F171" s="76">
        <f t="shared" ref="F171:F175" si="6">ROUND((F151*(1+F$166)+F$159+F$160+F$161),5)</f>
        <v>0.40328999999999998</v>
      </c>
      <c r="G171" s="78">
        <f>F171*(1+'Retail Rate Impact'!$C$29)</f>
        <v>0.41135579999999999</v>
      </c>
      <c r="H171" s="78">
        <f>G171*(1+'Retail Rate Impact'!$C$29)</f>
        <v>0.41958291600000003</v>
      </c>
      <c r="I171" s="78">
        <f>H171*(1+'Retail Rate Impact'!$C$29)</f>
        <v>0.42797457432000002</v>
      </c>
      <c r="J171" s="78">
        <f>I171*(1+'Retail Rate Impact'!$C$29)</f>
        <v>0.43653406580640003</v>
      </c>
      <c r="K171" s="78">
        <f>J171*(1+'Retail Rate Impact'!$C$29)</f>
        <v>0.44526474712252806</v>
      </c>
      <c r="L171" s="78">
        <f>K171*(1+'Retail Rate Impact'!$C$29)</f>
        <v>0.45417004206497863</v>
      </c>
    </row>
    <row r="172" spans="2:12" x14ac:dyDescent="0.35">
      <c r="B172" s="22" t="s">
        <v>99</v>
      </c>
      <c r="C172" s="76">
        <v>9.8930000000000004E-2</v>
      </c>
      <c r="D172" s="76">
        <v>9.6500745201532928E-2</v>
      </c>
      <c r="E172" s="76">
        <f t="shared" si="5"/>
        <v>8.455E-2</v>
      </c>
      <c r="F172" s="76">
        <f t="shared" si="6"/>
        <v>0.34038000000000002</v>
      </c>
      <c r="G172" s="78">
        <f>F172*(1+'Retail Rate Impact'!$C$29)</f>
        <v>0.34718760000000004</v>
      </c>
      <c r="H172" s="78">
        <f>G172*(1+'Retail Rate Impact'!$C$29)</f>
        <v>0.35413135200000007</v>
      </c>
      <c r="I172" s="78">
        <f>H172*(1+'Retail Rate Impact'!$C$29)</f>
        <v>0.36121397904000008</v>
      </c>
      <c r="J172" s="78">
        <f>I172*(1+'Retail Rate Impact'!$C$29)</f>
        <v>0.3684382586208001</v>
      </c>
      <c r="K172" s="78">
        <f>J172*(1+'Retail Rate Impact'!$C$29)</f>
        <v>0.37580702379321612</v>
      </c>
      <c r="L172" s="78">
        <f>K172*(1+'Retail Rate Impact'!$C$29)</f>
        <v>0.38332316426908047</v>
      </c>
    </row>
    <row r="173" spans="2:12" x14ac:dyDescent="0.35">
      <c r="B173" s="22" t="s">
        <v>100</v>
      </c>
      <c r="C173" s="76">
        <v>0.13164999999999999</v>
      </c>
      <c r="D173" s="76">
        <v>0.13819853407153293</v>
      </c>
      <c r="E173" s="76">
        <f t="shared" si="5"/>
        <v>0.12886</v>
      </c>
      <c r="F173" s="76">
        <f t="shared" si="6"/>
        <v>0.50683999999999996</v>
      </c>
      <c r="G173" s="78">
        <f>F173*(1+'Retail Rate Impact'!$C$29)</f>
        <v>0.51697680000000001</v>
      </c>
      <c r="H173" s="78">
        <f>G173*(1+'Retail Rate Impact'!$C$29)</f>
        <v>0.52731633600000005</v>
      </c>
      <c r="I173" s="78">
        <f>H173*(1+'Retail Rate Impact'!$C$29)</f>
        <v>0.53786266272000005</v>
      </c>
      <c r="J173" s="78">
        <f>I173*(1+'Retail Rate Impact'!$C$29)</f>
        <v>0.54861991597440007</v>
      </c>
      <c r="K173" s="78">
        <f>J173*(1+'Retail Rate Impact'!$C$29)</f>
        <v>0.55959231429388812</v>
      </c>
      <c r="L173" s="78">
        <f>K173*(1+'Retail Rate Impact'!$C$29)</f>
        <v>0.57078416057976589</v>
      </c>
    </row>
    <row r="174" spans="2:12" x14ac:dyDescent="0.35">
      <c r="B174" s="22" t="s">
        <v>101</v>
      </c>
      <c r="C174" s="76"/>
      <c r="D174" s="76"/>
      <c r="E174" s="76">
        <f t="shared" si="5"/>
        <v>5.5010000000000003E-2</v>
      </c>
      <c r="F174" s="76">
        <f t="shared" si="6"/>
        <v>0.38816000000000001</v>
      </c>
      <c r="G174" s="78">
        <f>F174*(1+'Retail Rate Impact'!$C$29)</f>
        <v>0.39592320000000003</v>
      </c>
      <c r="H174" s="78">
        <f>G174*(1+'Retail Rate Impact'!$C$29)</f>
        <v>0.40384166400000004</v>
      </c>
      <c r="I174" s="78">
        <f>H174*(1+'Retail Rate Impact'!$C$29)</f>
        <v>0.41191849728000007</v>
      </c>
      <c r="J174" s="78">
        <f>I174*(1+'Retail Rate Impact'!$C$29)</f>
        <v>0.42015686722560008</v>
      </c>
      <c r="K174" s="78">
        <f>J174*(1+'Retail Rate Impact'!$C$29)</f>
        <v>0.42856000457011212</v>
      </c>
      <c r="L174" s="78">
        <f>K174*(1+'Retail Rate Impact'!$C$29)</f>
        <v>0.43713120466151439</v>
      </c>
    </row>
    <row r="175" spans="2:12" x14ac:dyDescent="0.35">
      <c r="B175" s="22" t="s">
        <v>102</v>
      </c>
      <c r="C175" s="76">
        <v>6.7290000000000003E-2</v>
      </c>
      <c r="D175" s="76">
        <v>6.1850679821532945E-2</v>
      </c>
      <c r="E175" s="76">
        <f t="shared" si="5"/>
        <v>6.9779999999999995E-2</v>
      </c>
      <c r="F175" s="76">
        <f t="shared" si="6"/>
        <v>0.34038000000000002</v>
      </c>
      <c r="G175" s="78">
        <f>F175*(1+'Retail Rate Impact'!$C$29)</f>
        <v>0.34718760000000004</v>
      </c>
      <c r="H175" s="78">
        <f>G175*(1+'Retail Rate Impact'!$C$29)</f>
        <v>0.35413135200000007</v>
      </c>
      <c r="I175" s="78">
        <f>H175*(1+'Retail Rate Impact'!$C$29)</f>
        <v>0.36121397904000008</v>
      </c>
      <c r="J175" s="78">
        <f>I175*(1+'Retail Rate Impact'!$C$29)</f>
        <v>0.3684382586208001</v>
      </c>
      <c r="K175" s="78">
        <f>J175*(1+'Retail Rate Impact'!$C$29)</f>
        <v>0.37580702379321612</v>
      </c>
      <c r="L175" s="78">
        <f>K175*(1+'Retail Rate Impact'!$C$29)</f>
        <v>0.38332316426908047</v>
      </c>
    </row>
    <row r="176" spans="2:12" x14ac:dyDescent="0.35">
      <c r="B176" s="22" t="s">
        <v>124</v>
      </c>
      <c r="C176" s="84">
        <v>6.18</v>
      </c>
      <c r="D176" s="84">
        <v>6.752713309999999</v>
      </c>
      <c r="E176" s="84">
        <f>ROUND((E156*(1+E$158))*(1+E$166+E$167),2)</f>
        <v>3.41</v>
      </c>
      <c r="F176" s="84">
        <f>ROUND((F156*(1+F$158))*(1+F$166+F$167),2)</f>
        <v>0</v>
      </c>
      <c r="G176" s="82">
        <f>F176*(1+'Retail Rate Impact'!$C$29)</f>
        <v>0</v>
      </c>
      <c r="H176" s="82">
        <f>G176*(1+'Retail Rate Impact'!$C$29)</f>
        <v>0</v>
      </c>
      <c r="I176" s="82">
        <f>H176*(1+'Retail Rate Impact'!$C$29)</f>
        <v>0</v>
      </c>
      <c r="J176" s="82">
        <f>I176*(1+'Retail Rate Impact'!$C$29)</f>
        <v>0</v>
      </c>
      <c r="K176" s="82">
        <f>J176*(1+'Retail Rate Impact'!$C$29)</f>
        <v>0</v>
      </c>
      <c r="L176" s="82">
        <f>K176*(1+'Retail Rate Impact'!$C$29)</f>
        <v>0</v>
      </c>
    </row>
    <row r="177" spans="2:12" x14ac:dyDescent="0.35">
      <c r="B177" s="22" t="s">
        <v>125</v>
      </c>
      <c r="C177" s="84">
        <v>6.18</v>
      </c>
      <c r="D177" s="84">
        <v>6.752713309999999</v>
      </c>
      <c r="E177" s="84">
        <f>ROUND((E157*(1+E$158))*(1+E$166+E$167),2)</f>
        <v>3.41</v>
      </c>
      <c r="F177" s="84">
        <f>ROUND((F157*(1+F$158))*(1+F$166+F$167),2)</f>
        <v>0</v>
      </c>
      <c r="G177" s="82">
        <f>F177*(1+'Retail Rate Impact'!$C$29)</f>
        <v>0</v>
      </c>
      <c r="H177" s="82">
        <f>G177*(1+'Retail Rate Impact'!$C$29)</f>
        <v>0</v>
      </c>
      <c r="I177" s="82">
        <f>H177*(1+'Retail Rate Impact'!$C$29)</f>
        <v>0</v>
      </c>
      <c r="J177" s="82">
        <f>I177*(1+'Retail Rate Impact'!$C$29)</f>
        <v>0</v>
      </c>
      <c r="K177" s="82">
        <f>J177*(1+'Retail Rate Impact'!$C$29)</f>
        <v>0</v>
      </c>
      <c r="L177" s="82">
        <f>K177*(1+'Retail Rate Impact'!$C$29)</f>
        <v>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F75C3-E2F6-402A-9197-74F76A68CC7D}">
  <sheetPr>
    <tabColor theme="9" tint="0.79998168889431442"/>
  </sheetPr>
  <dimension ref="A2:AA129"/>
  <sheetViews>
    <sheetView zoomScale="90" zoomScaleNormal="90" workbookViewId="0">
      <selection activeCell="F20" sqref="F20:I20"/>
    </sheetView>
  </sheetViews>
  <sheetFormatPr defaultRowHeight="14.5" x14ac:dyDescent="0.35"/>
  <cols>
    <col min="1" max="1" width="12.26953125" customWidth="1"/>
    <col min="2" max="17" width="11.7265625" customWidth="1"/>
    <col min="18" max="19" width="12" customWidth="1"/>
    <col min="20" max="25" width="11.81640625" customWidth="1"/>
  </cols>
  <sheetData>
    <row r="2" spans="2:16" x14ac:dyDescent="0.35">
      <c r="B2" s="85" t="s">
        <v>153</v>
      </c>
    </row>
    <row r="3" spans="2:16" x14ac:dyDescent="0.35">
      <c r="B3" s="86" t="s">
        <v>154</v>
      </c>
    </row>
    <row r="5" spans="2:16" ht="15" thickBot="1" x14ac:dyDescent="0.4">
      <c r="B5" s="2" t="s">
        <v>155</v>
      </c>
      <c r="C5" s="2"/>
      <c r="D5" s="2"/>
      <c r="E5" s="2"/>
      <c r="F5" s="2"/>
      <c r="H5" s="2" t="s">
        <v>82</v>
      </c>
      <c r="J5" s="2"/>
      <c r="K5" s="2"/>
      <c r="L5" s="2"/>
      <c r="N5" s="2" t="s">
        <v>156</v>
      </c>
    </row>
    <row r="6" spans="2:16" x14ac:dyDescent="0.35">
      <c r="B6" s="87" t="s">
        <v>157</v>
      </c>
      <c r="C6" s="88" t="s">
        <v>78</v>
      </c>
      <c r="D6" s="88" t="s">
        <v>79</v>
      </c>
      <c r="E6" s="88" t="s">
        <v>80</v>
      </c>
      <c r="F6" s="89" t="s">
        <v>27</v>
      </c>
      <c r="H6" s="87" t="s">
        <v>157</v>
      </c>
      <c r="I6" s="88" t="s">
        <v>78</v>
      </c>
      <c r="J6" s="88" t="s">
        <v>79</v>
      </c>
      <c r="K6" s="88" t="s">
        <v>80</v>
      </c>
      <c r="L6" s="89" t="s">
        <v>27</v>
      </c>
      <c r="N6" s="3" t="s">
        <v>78</v>
      </c>
      <c r="O6" s="3" t="s">
        <v>79</v>
      </c>
      <c r="P6" s="3" t="s">
        <v>80</v>
      </c>
    </row>
    <row r="7" spans="2:16" x14ac:dyDescent="0.35">
      <c r="B7" s="166">
        <v>2020</v>
      </c>
      <c r="C7" s="167">
        <v>14225</v>
      </c>
      <c r="D7" s="90">
        <v>0</v>
      </c>
      <c r="E7" s="90">
        <v>8</v>
      </c>
      <c r="F7" s="168"/>
      <c r="H7" s="166">
        <v>2020</v>
      </c>
      <c r="I7" s="167">
        <v>48117.889480162899</v>
      </c>
      <c r="J7" s="90">
        <v>0</v>
      </c>
      <c r="K7" s="90">
        <v>640.72305395825697</v>
      </c>
      <c r="L7" s="168">
        <f>SUM(I7:K7)</f>
        <v>48758.612534121159</v>
      </c>
      <c r="N7" s="90">
        <f>IFERROR((I7*1000)/C7,"")</f>
        <v>3382.6284344578485</v>
      </c>
      <c r="O7" s="90" t="str">
        <f t="shared" ref="O7:P7" si="0">IFERROR((J7*1000)/D7,"")</f>
        <v/>
      </c>
      <c r="P7" s="90">
        <f t="shared" si="0"/>
        <v>80090.38174478212</v>
      </c>
    </row>
    <row r="8" spans="2:16" x14ac:dyDescent="0.35">
      <c r="B8" s="166">
        <v>2021</v>
      </c>
      <c r="C8" s="171">
        <f>INDEX($B28:$G28,MATCH($B$3,$B$27:$G$27,0))-C$7</f>
        <v>6216</v>
      </c>
      <c r="D8" s="64">
        <f>INDEX($H28:$M28,MATCH($B$3,$H$27:$M$27,0))-D$7</f>
        <v>0</v>
      </c>
      <c r="E8" s="64">
        <f>INDEX($N28:$S28,MATCH($B$3,$N$27:$S$27,0))-E$7</f>
        <v>0</v>
      </c>
      <c r="F8" s="172">
        <f>SUM(C8:E8)</f>
        <v>6216</v>
      </c>
      <c r="G8" s="53"/>
      <c r="H8" s="166">
        <v>2021</v>
      </c>
      <c r="I8" s="171">
        <f>INDEX($B64:$G64,MATCH($B$3,$B$63:$G$63,0))-I$7</f>
        <v>25398.442076786967</v>
      </c>
      <c r="J8" s="90">
        <f>INDEX($H64:$M64,MATCH($B$3,$H$63:$M$63,0))-J$7</f>
        <v>0</v>
      </c>
      <c r="K8" s="90">
        <f>INDEX($N64:$S64,MATCH($B$3,$N$63:$S$63,0))-K$7</f>
        <v>405.55962222685571</v>
      </c>
      <c r="L8" s="168">
        <f>SUM(I8:K8)</f>
        <v>25804.001699013821</v>
      </c>
      <c r="N8" s="90">
        <f>IFERROR((C64*1000)/C28,"")</f>
        <v>3596.5134561396148</v>
      </c>
      <c r="O8" s="90" t="str">
        <f>IFERROR((I64*1000)/I28,"")</f>
        <v/>
      </c>
      <c r="P8" s="90">
        <f>IFERROR((O64*1000)/O28,"")</f>
        <v>130785.33452313908</v>
      </c>
    </row>
    <row r="9" spans="2:16" x14ac:dyDescent="0.35">
      <c r="B9" s="166">
        <v>2022</v>
      </c>
      <c r="C9" s="171">
        <f t="shared" ref="C9:C17" si="1">INDEX($B29:$G29,MATCH($B$3,$B$27:$G$27,0))-C$7</f>
        <v>18251.611973743617</v>
      </c>
      <c r="D9" s="64">
        <f t="shared" ref="D9:D17" si="2">INDEX($H29:$M29,MATCH($B$3,$H$27:$M$27,0))-D$7</f>
        <v>40.022876395333306</v>
      </c>
      <c r="E9" s="64">
        <f t="shared" ref="E9:E17" si="3">INDEX($N29:$S29,MATCH($B$3,$N$27:$S$27,0))-E$7</f>
        <v>0</v>
      </c>
      <c r="F9" s="172">
        <f t="shared" ref="F9:F17" si="4">SUM(C9:E9)</f>
        <v>18291.634850138951</v>
      </c>
      <c r="G9" s="53"/>
      <c r="H9" s="166">
        <v>2022</v>
      </c>
      <c r="I9" s="171">
        <f t="shared" ref="I9:I17" si="5">INDEX($B65:$G65,MATCH($B$3,$B$63:$G$63,0))-I$7</f>
        <v>65226.938135783399</v>
      </c>
      <c r="J9" s="90">
        <f t="shared" ref="J9:J17" si="6">INDEX($H65:$M65,MATCH($B$3,$H$63:$M$63,0))-J$7</f>
        <v>1052.7672730256324</v>
      </c>
      <c r="K9" s="90">
        <f t="shared" ref="K9:K17" si="7">INDEX($N65:$S65,MATCH($B$3,$N$63:$S$63,0))-K$7</f>
        <v>405.55962222685571</v>
      </c>
      <c r="L9" s="168">
        <f t="shared" ref="L9:L17" si="8">SUM(I9:K9)</f>
        <v>66685.265031035888</v>
      </c>
      <c r="N9" s="90">
        <f t="shared" ref="N9:N17" si="9">IFERROR((C65*1000)/C29,"")</f>
        <v>3490.0447037881368</v>
      </c>
      <c r="O9" s="90">
        <f t="shared" ref="O9:O17" si="10">IFERROR((I65*1000)/I29,"")</f>
        <v>26304.138229015087</v>
      </c>
      <c r="P9" s="90">
        <f t="shared" ref="P9:P17" si="11">IFERROR((O65*1000)/O29,"")</f>
        <v>130785.33452313908</v>
      </c>
    </row>
    <row r="10" spans="2:16" x14ac:dyDescent="0.35">
      <c r="B10" s="166">
        <v>2023</v>
      </c>
      <c r="C10" s="171">
        <f t="shared" si="1"/>
        <v>33601.01320514729</v>
      </c>
      <c r="D10" s="64">
        <f t="shared" si="2"/>
        <v>129.68761274958726</v>
      </c>
      <c r="E10" s="64">
        <f t="shared" si="3"/>
        <v>6.7088307407616341</v>
      </c>
      <c r="F10" s="172">
        <f t="shared" si="4"/>
        <v>33737.409648637637</v>
      </c>
      <c r="G10" s="53"/>
      <c r="H10" s="166">
        <v>2023</v>
      </c>
      <c r="I10" s="171">
        <f t="shared" si="5"/>
        <v>125603.21654122593</v>
      </c>
      <c r="J10" s="90">
        <f t="shared" si="6"/>
        <v>3411.3208923561233</v>
      </c>
      <c r="K10" s="90">
        <f t="shared" si="7"/>
        <v>1282.9762949164849</v>
      </c>
      <c r="L10" s="168">
        <f t="shared" si="8"/>
        <v>130297.51372849854</v>
      </c>
      <c r="N10" s="90">
        <f t="shared" si="9"/>
        <v>3632.3559999914864</v>
      </c>
      <c r="O10" s="90">
        <f t="shared" si="10"/>
        <v>26304.13822901509</v>
      </c>
      <c r="P10" s="90">
        <f t="shared" si="11"/>
        <v>130785.33452313908</v>
      </c>
    </row>
    <row r="11" spans="2:16" x14ac:dyDescent="0.35">
      <c r="B11" s="166">
        <v>2024</v>
      </c>
      <c r="C11" s="171">
        <f t="shared" si="1"/>
        <v>50402.528295999597</v>
      </c>
      <c r="D11" s="64">
        <f t="shared" si="2"/>
        <v>277.4722920844402</v>
      </c>
      <c r="E11" s="64">
        <f t="shared" si="3"/>
        <v>50.51315460009539</v>
      </c>
      <c r="F11" s="172">
        <f t="shared" si="4"/>
        <v>50730.513742684132</v>
      </c>
      <c r="G11" s="53"/>
      <c r="H11" s="166">
        <v>2024</v>
      </c>
      <c r="I11" s="171">
        <f t="shared" si="5"/>
        <v>197589.01110624601</v>
      </c>
      <c r="J11" s="90">
        <f t="shared" si="6"/>
        <v>7298.6695257107649</v>
      </c>
      <c r="K11" s="90">
        <f t="shared" si="7"/>
        <v>7011.9394444193731</v>
      </c>
      <c r="L11" s="168">
        <f t="shared" si="8"/>
        <v>211899.62007637616</v>
      </c>
      <c r="N11" s="90">
        <f t="shared" si="9"/>
        <v>3801.8922750851671</v>
      </c>
      <c r="O11" s="90">
        <f t="shared" si="10"/>
        <v>26304.138229015094</v>
      </c>
      <c r="P11" s="90">
        <f t="shared" si="11"/>
        <v>130785.33452313908</v>
      </c>
    </row>
    <row r="12" spans="2:16" x14ac:dyDescent="0.35">
      <c r="B12" s="166">
        <v>2025</v>
      </c>
      <c r="C12" s="171">
        <f t="shared" si="1"/>
        <v>65423.879314553458</v>
      </c>
      <c r="D12" s="64">
        <f t="shared" si="2"/>
        <v>496.04120812643782</v>
      </c>
      <c r="E12" s="64">
        <f t="shared" si="3"/>
        <v>148.31749341562625</v>
      </c>
      <c r="F12" s="172">
        <f t="shared" si="4"/>
        <v>66068.238016095522</v>
      </c>
      <c r="G12" s="53"/>
      <c r="H12" s="166">
        <v>2025</v>
      </c>
      <c r="I12" s="171">
        <f t="shared" si="5"/>
        <v>270273.20388333529</v>
      </c>
      <c r="J12" s="90">
        <f t="shared" si="6"/>
        <v>13047.936505845464</v>
      </c>
      <c r="K12" s="90">
        <f t="shared" si="7"/>
        <v>19803.312614223014</v>
      </c>
      <c r="L12" s="168">
        <f t="shared" si="8"/>
        <v>303124.45300340373</v>
      </c>
      <c r="N12" s="90">
        <f>IFERROR((C68*1000)/C32,"")</f>
        <v>3997.4334366475096</v>
      </c>
      <c r="O12" s="90">
        <f t="shared" si="10"/>
        <v>26304.13822901509</v>
      </c>
      <c r="P12" s="90">
        <f t="shared" si="11"/>
        <v>130785.33452313908</v>
      </c>
    </row>
    <row r="13" spans="2:16" x14ac:dyDescent="0.35">
      <c r="B13" s="166">
        <v>2026</v>
      </c>
      <c r="C13" s="171">
        <f t="shared" si="1"/>
        <v>84637.852787149692</v>
      </c>
      <c r="D13" s="64">
        <f t="shared" si="2"/>
        <v>796.71543609685011</v>
      </c>
      <c r="E13" s="64">
        <f t="shared" si="3"/>
        <v>332.68060260026232</v>
      </c>
      <c r="F13" s="172">
        <f t="shared" si="4"/>
        <v>85767.248825846807</v>
      </c>
      <c r="G13" s="53"/>
      <c r="H13" s="166">
        <v>2026</v>
      </c>
      <c r="I13" s="171">
        <f t="shared" si="5"/>
        <v>349763.59348999534</v>
      </c>
      <c r="J13" s="90">
        <f t="shared" si="6"/>
        <v>20956.912960281585</v>
      </c>
      <c r="K13" s="90">
        <f t="shared" si="7"/>
        <v>43915.303522661656</v>
      </c>
      <c r="L13" s="168">
        <f t="shared" si="8"/>
        <v>414635.80997293862</v>
      </c>
      <c r="N13" s="90">
        <f t="shared" si="9"/>
        <v>4024.5802316345389</v>
      </c>
      <c r="O13" s="90">
        <f t="shared" si="10"/>
        <v>26304.13822901509</v>
      </c>
      <c r="P13" s="90">
        <f t="shared" si="11"/>
        <v>130785.33452313908</v>
      </c>
    </row>
    <row r="14" spans="2:16" x14ac:dyDescent="0.35">
      <c r="B14" s="166">
        <v>2027</v>
      </c>
      <c r="C14" s="171">
        <f t="shared" si="1"/>
        <v>107301.04916689586</v>
      </c>
      <c r="D14" s="64">
        <f t="shared" si="2"/>
        <v>1181.6311067768931</v>
      </c>
      <c r="E14" s="64">
        <f t="shared" si="3"/>
        <v>599.63851426445774</v>
      </c>
      <c r="F14" s="172">
        <f t="shared" si="4"/>
        <v>109082.31878793721</v>
      </c>
      <c r="G14" s="53"/>
      <c r="H14" s="166">
        <v>2027</v>
      </c>
      <c r="I14" s="171">
        <f t="shared" si="5"/>
        <v>448015.04659251246</v>
      </c>
      <c r="J14" s="90">
        <f t="shared" si="6"/>
        <v>31081.787968363489</v>
      </c>
      <c r="K14" s="90">
        <f t="shared" si="7"/>
        <v>78829.483303262081</v>
      </c>
      <c r="L14" s="168">
        <f t="shared" si="8"/>
        <v>557926.31786413805</v>
      </c>
      <c r="N14" s="90">
        <f t="shared" si="9"/>
        <v>4082.5233723456204</v>
      </c>
      <c r="O14" s="90">
        <f t="shared" si="10"/>
        <v>26304.138229015094</v>
      </c>
      <c r="P14" s="90">
        <f t="shared" si="11"/>
        <v>130785.3345231391</v>
      </c>
    </row>
    <row r="15" spans="2:16" x14ac:dyDescent="0.35">
      <c r="B15" s="166">
        <v>2028</v>
      </c>
      <c r="C15" s="171">
        <f t="shared" si="1"/>
        <v>135717.63798833528</v>
      </c>
      <c r="D15" s="64">
        <f t="shared" si="2"/>
        <v>1658.6740765651784</v>
      </c>
      <c r="E15" s="64">
        <f t="shared" si="3"/>
        <v>936.2820926060898</v>
      </c>
      <c r="F15" s="172">
        <f t="shared" si="4"/>
        <v>138312.59415750657</v>
      </c>
      <c r="G15" s="53"/>
      <c r="H15" s="166">
        <v>2028</v>
      </c>
      <c r="I15" s="171">
        <f t="shared" si="5"/>
        <v>569115.56089831959</v>
      </c>
      <c r="J15" s="90">
        <f t="shared" si="6"/>
        <v>43629.992186854412</v>
      </c>
      <c r="K15" s="90">
        <f t="shared" si="7"/>
        <v>122857.526311739</v>
      </c>
      <c r="L15" s="168">
        <f t="shared" si="8"/>
        <v>735603.07939691294</v>
      </c>
      <c r="N15" s="90">
        <f t="shared" si="9"/>
        <v>4116.4638601763154</v>
      </c>
      <c r="O15" s="90">
        <f t="shared" si="10"/>
        <v>26304.13822901509</v>
      </c>
      <c r="P15" s="90">
        <f t="shared" si="11"/>
        <v>130785.33452313908</v>
      </c>
    </row>
    <row r="16" spans="2:16" x14ac:dyDescent="0.35">
      <c r="B16" s="166">
        <v>2029</v>
      </c>
      <c r="C16" s="171">
        <f t="shared" si="1"/>
        <v>170838.40442524647</v>
      </c>
      <c r="D16" s="64">
        <f t="shared" si="2"/>
        <v>2231.4263652123732</v>
      </c>
      <c r="E16" s="64">
        <f t="shared" si="3"/>
        <v>1364.9997227971244</v>
      </c>
      <c r="F16" s="172">
        <f t="shared" si="4"/>
        <v>174434.83051325596</v>
      </c>
      <c r="G16" s="53"/>
      <c r="H16" s="166">
        <v>2029</v>
      </c>
      <c r="I16" s="171">
        <f t="shared" si="5"/>
        <v>721196.26973157539</v>
      </c>
      <c r="J16" s="90">
        <f t="shared" si="6"/>
        <v>58695.74755841498</v>
      </c>
      <c r="K16" s="90">
        <f t="shared" si="7"/>
        <v>178927.50499224087</v>
      </c>
      <c r="L16" s="168">
        <f t="shared" si="8"/>
        <v>958819.52228223113</v>
      </c>
      <c r="N16" s="90">
        <f t="shared" si="9"/>
        <v>4157.0301897395975</v>
      </c>
      <c r="O16" s="90">
        <f t="shared" si="10"/>
        <v>26304.138229015094</v>
      </c>
      <c r="P16" s="90">
        <f t="shared" si="11"/>
        <v>130785.33452313908</v>
      </c>
    </row>
    <row r="17" spans="1:27" ht="15" thickBot="1" x14ac:dyDescent="0.4">
      <c r="B17" s="173">
        <v>2030</v>
      </c>
      <c r="C17" s="174">
        <f t="shared" si="1"/>
        <v>215214.16305246257</v>
      </c>
      <c r="D17" s="175">
        <f t="shared" si="2"/>
        <v>2847.4684200788897</v>
      </c>
      <c r="E17" s="175">
        <f t="shared" si="3"/>
        <v>1868.2689462576709</v>
      </c>
      <c r="F17" s="176">
        <f t="shared" si="4"/>
        <v>219929.90041879914</v>
      </c>
      <c r="G17" s="53"/>
      <c r="H17" s="173">
        <v>2030</v>
      </c>
      <c r="I17" s="174">
        <f t="shared" si="5"/>
        <v>913272.29563927231</v>
      </c>
      <c r="J17" s="169">
        <f t="shared" si="6"/>
        <v>74900.202924510333</v>
      </c>
      <c r="K17" s="169">
        <f t="shared" si="7"/>
        <v>244747.73873772888</v>
      </c>
      <c r="L17" s="170">
        <f t="shared" si="8"/>
        <v>1232920.2373015115</v>
      </c>
      <c r="N17" s="90">
        <f t="shared" si="9"/>
        <v>4190.1747388243739</v>
      </c>
      <c r="O17" s="90">
        <f t="shared" si="10"/>
        <v>26304.138229015094</v>
      </c>
      <c r="P17" s="90">
        <f t="shared" si="11"/>
        <v>130785.33452313908</v>
      </c>
    </row>
    <row r="18" spans="1:27" x14ac:dyDescent="0.35">
      <c r="A18" s="2"/>
    </row>
    <row r="19" spans="1:27" x14ac:dyDescent="0.35">
      <c r="C19" s="26"/>
    </row>
    <row r="20" spans="1:27" x14ac:dyDescent="0.35">
      <c r="A20" s="38"/>
      <c r="C20" s="26"/>
      <c r="N20" s="46"/>
    </row>
    <row r="21" spans="1:27" x14ac:dyDescent="0.35">
      <c r="A21" s="38"/>
      <c r="C21" s="190" t="s">
        <v>158</v>
      </c>
      <c r="E21" s="26"/>
      <c r="N21" s="46"/>
    </row>
    <row r="22" spans="1:27" x14ac:dyDescent="0.35">
      <c r="A22" s="38"/>
      <c r="C22" s="191" t="s">
        <v>159</v>
      </c>
      <c r="E22" s="26"/>
      <c r="N22" s="46"/>
    </row>
    <row r="23" spans="1:27" x14ac:dyDescent="0.35">
      <c r="N23" s="46"/>
    </row>
    <row r="25" spans="1:27" x14ac:dyDescent="0.35">
      <c r="B25" s="2" t="s">
        <v>77</v>
      </c>
    </row>
    <row r="26" spans="1:27" x14ac:dyDescent="0.35">
      <c r="B26" s="92" t="s">
        <v>78</v>
      </c>
      <c r="C26" s="93"/>
      <c r="D26" s="93"/>
      <c r="E26" s="93"/>
      <c r="F26" s="93"/>
      <c r="G26" s="93"/>
      <c r="H26" s="92" t="s">
        <v>79</v>
      </c>
      <c r="I26" s="93"/>
      <c r="J26" s="93"/>
      <c r="K26" s="93"/>
      <c r="L26" s="93"/>
      <c r="M26" s="93"/>
      <c r="N26" s="92" t="s">
        <v>80</v>
      </c>
      <c r="O26" s="93"/>
      <c r="P26" s="93"/>
      <c r="Q26" s="93"/>
      <c r="R26" s="93"/>
      <c r="S26" s="93"/>
      <c r="T26" s="92" t="s">
        <v>27</v>
      </c>
      <c r="U26" s="93"/>
      <c r="V26" s="93"/>
      <c r="W26" s="93"/>
      <c r="X26" s="93"/>
      <c r="Y26" s="93"/>
    </row>
    <row r="27" spans="1:27" x14ac:dyDescent="0.35">
      <c r="A27" s="2" t="s">
        <v>157</v>
      </c>
      <c r="B27" s="94" t="s">
        <v>160</v>
      </c>
      <c r="C27" s="95" t="s">
        <v>154</v>
      </c>
      <c r="D27" s="95" t="s">
        <v>161</v>
      </c>
      <c r="E27" s="95" t="s">
        <v>162</v>
      </c>
      <c r="F27" s="95" t="s">
        <v>163</v>
      </c>
      <c r="G27" s="95" t="s">
        <v>164</v>
      </c>
      <c r="H27" s="94" t="s">
        <v>160</v>
      </c>
      <c r="I27" s="95" t="s">
        <v>154</v>
      </c>
      <c r="J27" s="95" t="s">
        <v>161</v>
      </c>
      <c r="K27" s="95" t="s">
        <v>162</v>
      </c>
      <c r="L27" s="95" t="s">
        <v>163</v>
      </c>
      <c r="M27" s="95" t="s">
        <v>164</v>
      </c>
      <c r="N27" s="94" t="s">
        <v>160</v>
      </c>
      <c r="O27" s="95" t="s">
        <v>154</v>
      </c>
      <c r="P27" s="95" t="s">
        <v>161</v>
      </c>
      <c r="Q27" s="95" t="s">
        <v>162</v>
      </c>
      <c r="R27" s="95" t="s">
        <v>163</v>
      </c>
      <c r="S27" s="95" t="s">
        <v>164</v>
      </c>
      <c r="T27" s="94" t="s">
        <v>160</v>
      </c>
      <c r="U27" s="95" t="s">
        <v>154</v>
      </c>
      <c r="V27" s="95" t="s">
        <v>161</v>
      </c>
      <c r="W27" s="95" t="s">
        <v>162</v>
      </c>
      <c r="X27" s="95" t="s">
        <v>163</v>
      </c>
      <c r="Y27" s="95" t="s">
        <v>164</v>
      </c>
    </row>
    <row r="28" spans="1:27" x14ac:dyDescent="0.35">
      <c r="A28" s="96">
        <v>2021</v>
      </c>
      <c r="B28" s="140">
        <v>41919</v>
      </c>
      <c r="C28" s="189">
        <v>20441</v>
      </c>
      <c r="D28" s="140">
        <v>41919</v>
      </c>
      <c r="E28" s="140">
        <v>41919</v>
      </c>
      <c r="F28" s="140">
        <f>E28</f>
        <v>41919</v>
      </c>
      <c r="G28" s="140">
        <f>F28</f>
        <v>41919</v>
      </c>
      <c r="H28" s="140">
        <v>0</v>
      </c>
      <c r="I28" s="187">
        <v>0</v>
      </c>
      <c r="J28" s="140">
        <v>0</v>
      </c>
      <c r="K28" s="140">
        <v>0</v>
      </c>
      <c r="L28" s="140">
        <f>K28</f>
        <v>0</v>
      </c>
      <c r="M28" s="140">
        <f>L28</f>
        <v>0</v>
      </c>
      <c r="N28" s="140">
        <v>46</v>
      </c>
      <c r="O28" s="187">
        <v>8</v>
      </c>
      <c r="P28" s="140">
        <v>46</v>
      </c>
      <c r="Q28" s="140">
        <v>46</v>
      </c>
      <c r="R28" s="140">
        <f>Q28</f>
        <v>46</v>
      </c>
      <c r="S28" s="140">
        <f>R28</f>
        <v>46</v>
      </c>
      <c r="T28" s="26">
        <f t="shared" ref="T28:Y58" si="12">SUM(B28,H28,N28)</f>
        <v>41965</v>
      </c>
      <c r="U28" s="26">
        <f t="shared" si="12"/>
        <v>20449</v>
      </c>
      <c r="V28" s="26">
        <f t="shared" si="12"/>
        <v>41965</v>
      </c>
      <c r="W28" s="26">
        <f t="shared" si="12"/>
        <v>41965</v>
      </c>
      <c r="X28" s="26">
        <f t="shared" si="12"/>
        <v>41965</v>
      </c>
      <c r="Y28" s="26">
        <f t="shared" si="12"/>
        <v>41965</v>
      </c>
      <c r="AA28" s="91" t="s">
        <v>165</v>
      </c>
    </row>
    <row r="29" spans="1:27" x14ac:dyDescent="0.35">
      <c r="A29" s="96">
        <v>2022</v>
      </c>
      <c r="B29" s="140">
        <v>50471.638200691261</v>
      </c>
      <c r="C29" s="189">
        <v>32476.611973743617</v>
      </c>
      <c r="D29" s="140">
        <v>89515.027263305354</v>
      </c>
      <c r="E29" s="140">
        <v>90734.518956394124</v>
      </c>
      <c r="F29" s="140">
        <v>59409.972616908388</v>
      </c>
      <c r="G29" s="140">
        <v>50500.205409442977</v>
      </c>
      <c r="H29" s="140">
        <v>0</v>
      </c>
      <c r="I29" s="187">
        <v>40.022876395333306</v>
      </c>
      <c r="J29" s="140">
        <v>0</v>
      </c>
      <c r="K29" s="140">
        <v>0</v>
      </c>
      <c r="L29" s="140">
        <v>177.70610897180049</v>
      </c>
      <c r="M29" s="140">
        <v>177.77132491499779</v>
      </c>
      <c r="N29" s="140">
        <v>68.151334493512607</v>
      </c>
      <c r="O29" s="187">
        <v>8</v>
      </c>
      <c r="P29" s="140">
        <v>101.44233292988028</v>
      </c>
      <c r="Q29" s="140">
        <v>102.82431410240063</v>
      </c>
      <c r="R29" s="140">
        <v>138.93947096735329</v>
      </c>
      <c r="S29" s="140">
        <v>138.98176554355234</v>
      </c>
      <c r="T29" s="26">
        <f t="shared" si="12"/>
        <v>50539.789535184776</v>
      </c>
      <c r="U29" s="26">
        <f t="shared" si="12"/>
        <v>32524.634850138951</v>
      </c>
      <c r="V29" s="26">
        <f t="shared" si="12"/>
        <v>89616.469596235227</v>
      </c>
      <c r="W29" s="26">
        <f t="shared" si="12"/>
        <v>90837.343270496523</v>
      </c>
      <c r="X29" s="26">
        <f t="shared" si="12"/>
        <v>59726.618196847536</v>
      </c>
      <c r="Y29" s="26">
        <f t="shared" si="12"/>
        <v>50816.958499901528</v>
      </c>
    </row>
    <row r="30" spans="1:27" x14ac:dyDescent="0.35">
      <c r="A30" s="96">
        <v>2023</v>
      </c>
      <c r="B30" s="140">
        <v>62312.044061950699</v>
      </c>
      <c r="C30" s="189">
        <v>47826.01320514729</v>
      </c>
      <c r="D30" s="140">
        <v>159333.80904781565</v>
      </c>
      <c r="E30" s="140">
        <v>163675.11938424569</v>
      </c>
      <c r="F30" s="140">
        <v>98748.975620051991</v>
      </c>
      <c r="G30" s="140">
        <v>75352.214760625764</v>
      </c>
      <c r="H30" s="140">
        <v>54.925698441863233</v>
      </c>
      <c r="I30" s="187">
        <v>129.68761274958726</v>
      </c>
      <c r="J30" s="140">
        <v>166.92492186170517</v>
      </c>
      <c r="K30" s="140">
        <v>171.47306448765929</v>
      </c>
      <c r="L30" s="140">
        <v>390.04898961695886</v>
      </c>
      <c r="M30" s="140">
        <v>390.20961724650107</v>
      </c>
      <c r="N30" s="140">
        <v>74.485388806371589</v>
      </c>
      <c r="O30" s="187">
        <v>14.708830740761634</v>
      </c>
      <c r="P30" s="140">
        <v>141.37927132393682</v>
      </c>
      <c r="Q30" s="140">
        <v>145.23138090208269</v>
      </c>
      <c r="R30" s="140">
        <v>252.53376582306706</v>
      </c>
      <c r="S30" s="140">
        <v>252.62322123235927</v>
      </c>
      <c r="T30" s="26">
        <f t="shared" si="12"/>
        <v>62441.455149198933</v>
      </c>
      <c r="U30" s="26">
        <f t="shared" si="12"/>
        <v>47970.409648637637</v>
      </c>
      <c r="V30" s="26">
        <f t="shared" si="12"/>
        <v>159642.11324100129</v>
      </c>
      <c r="W30" s="26">
        <f t="shared" si="12"/>
        <v>163991.82382963542</v>
      </c>
      <c r="X30" s="26">
        <f t="shared" si="12"/>
        <v>99391.558375492023</v>
      </c>
      <c r="Y30" s="26">
        <f t="shared" si="12"/>
        <v>75995.047599104611</v>
      </c>
    </row>
    <row r="31" spans="1:27" x14ac:dyDescent="0.35">
      <c r="A31" s="96">
        <v>2024</v>
      </c>
      <c r="B31" s="140">
        <v>74803.916903638732</v>
      </c>
      <c r="C31" s="189">
        <v>64627.528295999597</v>
      </c>
      <c r="D31" s="140">
        <v>222038.07462797448</v>
      </c>
      <c r="E31" s="140">
        <v>231112.76060539475</v>
      </c>
      <c r="F31" s="140">
        <v>143213.50111981959</v>
      </c>
      <c r="G31" s="140">
        <v>106502.99640938092</v>
      </c>
      <c r="H31" s="140">
        <v>166.0724816150103</v>
      </c>
      <c r="I31" s="187">
        <v>277.4722920844402</v>
      </c>
      <c r="J31" s="140">
        <v>558.52817423949466</v>
      </c>
      <c r="K31" s="140">
        <v>581.35519523243727</v>
      </c>
      <c r="L31" s="140">
        <v>633.41378032404418</v>
      </c>
      <c r="M31" s="140">
        <v>633.69985795562673</v>
      </c>
      <c r="N31" s="140">
        <v>87.510437792486911</v>
      </c>
      <c r="O31" s="187">
        <v>58.51315460009539</v>
      </c>
      <c r="P31" s="140">
        <v>189.34780094624284</v>
      </c>
      <c r="Q31" s="140">
        <v>197.0864369300993</v>
      </c>
      <c r="R31" s="140">
        <v>384.29368466034657</v>
      </c>
      <c r="S31" s="140">
        <v>384.43587857575892</v>
      </c>
      <c r="T31" s="26">
        <f t="shared" si="12"/>
        <v>75057.499823046222</v>
      </c>
      <c r="U31" s="26">
        <f t="shared" si="12"/>
        <v>64963.513742684132</v>
      </c>
      <c r="V31" s="26">
        <f t="shared" si="12"/>
        <v>222785.95060316022</v>
      </c>
      <c r="W31" s="26">
        <f t="shared" si="12"/>
        <v>231891.2022375573</v>
      </c>
      <c r="X31" s="26">
        <f t="shared" si="12"/>
        <v>144231.20858480397</v>
      </c>
      <c r="Y31" s="26">
        <f t="shared" si="12"/>
        <v>107521.13214591231</v>
      </c>
    </row>
    <row r="32" spans="1:27" x14ac:dyDescent="0.35">
      <c r="A32" s="96">
        <v>2025</v>
      </c>
      <c r="B32" s="140">
        <v>87611.314924503386</v>
      </c>
      <c r="C32" s="189">
        <v>79648.879314553458</v>
      </c>
      <c r="D32" s="140">
        <v>266416.90656676301</v>
      </c>
      <c r="E32" s="140">
        <v>280934.83565149258</v>
      </c>
      <c r="F32" s="140">
        <v>193329.1276699217</v>
      </c>
      <c r="G32" s="140">
        <v>144279.5201976822</v>
      </c>
      <c r="H32" s="140">
        <v>344.29327244743479</v>
      </c>
      <c r="I32" s="187">
        <v>496.04120812643782</v>
      </c>
      <c r="J32" s="140">
        <v>1185.9475108910501</v>
      </c>
      <c r="K32" s="140">
        <v>1250.5736717575082</v>
      </c>
      <c r="L32" s="140">
        <v>907.08209412668145</v>
      </c>
      <c r="M32" s="140">
        <v>907.5222207070392</v>
      </c>
      <c r="N32" s="140">
        <v>115.73857129812788</v>
      </c>
      <c r="O32" s="187">
        <v>156.31749341562625</v>
      </c>
      <c r="P32" s="140">
        <v>268.39890988573075</v>
      </c>
      <c r="Q32" s="140">
        <v>283.02484481739123</v>
      </c>
      <c r="R32" s="140">
        <v>534.0724060121355</v>
      </c>
      <c r="S32" s="140">
        <v>534.27319264150105</v>
      </c>
      <c r="T32" s="26">
        <f t="shared" si="12"/>
        <v>88071.346768248957</v>
      </c>
      <c r="U32" s="26">
        <f t="shared" si="12"/>
        <v>80301.238016095522</v>
      </c>
      <c r="V32" s="26">
        <f t="shared" si="12"/>
        <v>267871.2529875398</v>
      </c>
      <c r="W32" s="26">
        <f t="shared" si="12"/>
        <v>282468.43416806753</v>
      </c>
      <c r="X32" s="26">
        <f t="shared" si="12"/>
        <v>194770.2821700605</v>
      </c>
      <c r="Y32" s="26">
        <f t="shared" si="12"/>
        <v>145721.31561103073</v>
      </c>
    </row>
    <row r="33" spans="1:25" x14ac:dyDescent="0.35">
      <c r="A33" s="96">
        <v>2026</v>
      </c>
      <c r="B33" s="140">
        <v>103148.67258703138</v>
      </c>
      <c r="C33" s="189">
        <v>98862.852787149692</v>
      </c>
      <c r="D33" s="140">
        <v>311007.16304202849</v>
      </c>
      <c r="E33" s="140">
        <v>332191.91064341424</v>
      </c>
      <c r="F33" s="140">
        <v>249464.29719689972</v>
      </c>
      <c r="G33" s="140">
        <v>188785.26925788273</v>
      </c>
      <c r="H33" s="140">
        <v>562.23510004912362</v>
      </c>
      <c r="I33" s="187">
        <v>796.71543609685011</v>
      </c>
      <c r="J33" s="140">
        <v>2009.3159002664122</v>
      </c>
      <c r="K33" s="140">
        <v>2146.1836488489193</v>
      </c>
      <c r="L33" s="140">
        <v>1210.072027795356</v>
      </c>
      <c r="M33" s="140">
        <v>1210.6929792798894</v>
      </c>
      <c r="N33" s="140">
        <v>168.06692659998751</v>
      </c>
      <c r="O33" s="187">
        <v>340.68060260026232</v>
      </c>
      <c r="P33" s="140">
        <v>414.14515165888923</v>
      </c>
      <c r="Q33" s="140">
        <v>442.35530740712062</v>
      </c>
      <c r="R33" s="140">
        <v>701.42404765795914</v>
      </c>
      <c r="S33" s="140">
        <v>701.68924938282146</v>
      </c>
      <c r="T33" s="26">
        <f t="shared" si="12"/>
        <v>103878.97461368049</v>
      </c>
      <c r="U33" s="26">
        <f t="shared" si="12"/>
        <v>100000.24882584681</v>
      </c>
      <c r="V33" s="26">
        <f t="shared" si="12"/>
        <v>313430.62409395381</v>
      </c>
      <c r="W33" s="26">
        <f t="shared" si="12"/>
        <v>334780.44959967025</v>
      </c>
      <c r="X33" s="26">
        <f t="shared" si="12"/>
        <v>251375.79327235304</v>
      </c>
      <c r="Y33" s="26">
        <f t="shared" si="12"/>
        <v>190697.65148654542</v>
      </c>
    </row>
    <row r="34" spans="1:25" x14ac:dyDescent="0.35">
      <c r="A34" s="96">
        <v>2027</v>
      </c>
      <c r="B34" s="140">
        <v>122346.31583251298</v>
      </c>
      <c r="C34" s="189">
        <v>121526.04916689586</v>
      </c>
      <c r="D34" s="140">
        <v>360379.56240213779</v>
      </c>
      <c r="E34" s="140">
        <v>389836.95494131383</v>
      </c>
      <c r="F34" s="140">
        <v>311441.526647939</v>
      </c>
      <c r="G34" s="140">
        <v>239600.10018953279</v>
      </c>
      <c r="H34" s="140">
        <v>821.37324781001348</v>
      </c>
      <c r="I34" s="187">
        <v>1181.6311067768931</v>
      </c>
      <c r="J34" s="140">
        <v>2979.2037990040203</v>
      </c>
      <c r="K34" s="140">
        <v>3222.7236456248947</v>
      </c>
      <c r="L34" s="140">
        <v>1541.5881459885163</v>
      </c>
      <c r="M34" s="140">
        <v>1542.4152493520496</v>
      </c>
      <c r="N34" s="140">
        <v>245.82438038267995</v>
      </c>
      <c r="O34" s="187">
        <v>607.63851426445774</v>
      </c>
      <c r="P34" s="140">
        <v>627.28565217535186</v>
      </c>
      <c r="Q34" s="140">
        <v>678.55992413227034</v>
      </c>
      <c r="R34" s="140">
        <v>885.94569674124659</v>
      </c>
      <c r="S34" s="140">
        <v>886.28111003378547</v>
      </c>
      <c r="T34" s="26">
        <f t="shared" si="12"/>
        <v>123413.51346070567</v>
      </c>
      <c r="U34" s="26">
        <f t="shared" si="12"/>
        <v>123315.31878793721</v>
      </c>
      <c r="V34" s="26">
        <f t="shared" si="12"/>
        <v>363986.05185331719</v>
      </c>
      <c r="W34" s="26">
        <f t="shared" si="12"/>
        <v>393738.23851107096</v>
      </c>
      <c r="X34" s="26">
        <f t="shared" si="12"/>
        <v>313869.06049066875</v>
      </c>
      <c r="Y34" s="26">
        <f t="shared" si="12"/>
        <v>242028.79654891862</v>
      </c>
    </row>
    <row r="35" spans="1:25" x14ac:dyDescent="0.35">
      <c r="A35" s="96">
        <v>2028</v>
      </c>
      <c r="B35" s="140">
        <v>146603.30734002724</v>
      </c>
      <c r="C35" s="189">
        <v>149942.63798833528</v>
      </c>
      <c r="D35" s="140">
        <v>423085.02876667527</v>
      </c>
      <c r="E35" s="140">
        <v>463431.78234286269</v>
      </c>
      <c r="F35" s="140">
        <v>380730.34674024361</v>
      </c>
      <c r="G35" s="140">
        <v>297826.09511198878</v>
      </c>
      <c r="H35" s="140">
        <v>1114.9444990569732</v>
      </c>
      <c r="I35" s="187">
        <v>1658.6740765651784</v>
      </c>
      <c r="J35" s="140">
        <v>4092.2933078380611</v>
      </c>
      <c r="K35" s="140">
        <v>4482.5476029005313</v>
      </c>
      <c r="L35" s="140">
        <v>1899.7330281000791</v>
      </c>
      <c r="M35" s="140">
        <v>1900.7894051830995</v>
      </c>
      <c r="N35" s="140">
        <v>339.49787675926177</v>
      </c>
      <c r="O35" s="187">
        <v>944.2820926060898</v>
      </c>
      <c r="P35" s="140">
        <v>891.53863201956995</v>
      </c>
      <c r="Q35" s="140">
        <v>976.55863283265057</v>
      </c>
      <c r="R35" s="140">
        <v>1086.5372556871303</v>
      </c>
      <c r="S35" s="140">
        <v>1086.9482900817529</v>
      </c>
      <c r="T35" s="26">
        <f t="shared" si="12"/>
        <v>148057.74971584347</v>
      </c>
      <c r="U35" s="26">
        <f t="shared" si="12"/>
        <v>152545.59415750657</v>
      </c>
      <c r="V35" s="26">
        <f t="shared" si="12"/>
        <v>428068.86070653296</v>
      </c>
      <c r="W35" s="26">
        <f t="shared" si="12"/>
        <v>468890.88857859588</v>
      </c>
      <c r="X35" s="26">
        <f t="shared" si="12"/>
        <v>383716.61702403083</v>
      </c>
      <c r="Y35" s="26">
        <f t="shared" si="12"/>
        <v>300813.83280725364</v>
      </c>
    </row>
    <row r="36" spans="1:25" x14ac:dyDescent="0.35">
      <c r="A36" s="96">
        <v>2029</v>
      </c>
      <c r="B36" s="140">
        <v>177121.23459486171</v>
      </c>
      <c r="C36" s="189">
        <v>185063.40442524647</v>
      </c>
      <c r="D36" s="140">
        <v>501615.99798499048</v>
      </c>
      <c r="E36" s="140">
        <v>556285.3925092225</v>
      </c>
      <c r="F36" s="140">
        <v>457250.0840436705</v>
      </c>
      <c r="G36" s="140">
        <v>363284.29313701967</v>
      </c>
      <c r="H36" s="140">
        <v>1441.2828362254859</v>
      </c>
      <c r="I36" s="187">
        <v>2231.4263652123732</v>
      </c>
      <c r="J36" s="140">
        <v>5356.9722769713053</v>
      </c>
      <c r="K36" s="140">
        <v>5940.8101769616524</v>
      </c>
      <c r="L36" s="140">
        <v>2282.8846735886641</v>
      </c>
      <c r="M36" s="140">
        <v>2284.1917680951296</v>
      </c>
      <c r="N36" s="140">
        <v>445.74224272979336</v>
      </c>
      <c r="O36" s="187">
        <v>1372.9997227971244</v>
      </c>
      <c r="P36" s="140">
        <v>1202.2996484965167</v>
      </c>
      <c r="Q36" s="140">
        <v>1333.3341332099978</v>
      </c>
      <c r="R36" s="140">
        <v>1302.2636440017172</v>
      </c>
      <c r="S36" s="140">
        <v>1302.7553809860528</v>
      </c>
      <c r="T36" s="26">
        <f t="shared" si="12"/>
        <v>179008.259673817</v>
      </c>
      <c r="U36" s="26">
        <f t="shared" si="12"/>
        <v>188667.83051325596</v>
      </c>
      <c r="V36" s="26">
        <f t="shared" si="12"/>
        <v>508175.2699104583</v>
      </c>
      <c r="W36" s="26">
        <f t="shared" si="12"/>
        <v>563559.53681939421</v>
      </c>
      <c r="X36" s="26">
        <f t="shared" si="12"/>
        <v>460835.23236126092</v>
      </c>
      <c r="Y36" s="26">
        <f t="shared" si="12"/>
        <v>366871.24028610083</v>
      </c>
    </row>
    <row r="37" spans="1:25" x14ac:dyDescent="0.35">
      <c r="A37" s="96">
        <v>2030</v>
      </c>
      <c r="B37" s="140">
        <v>215310.76089283236</v>
      </c>
      <c r="C37" s="189">
        <v>229439.16305246257</v>
      </c>
      <c r="D37" s="140">
        <v>598728.15084026626</v>
      </c>
      <c r="E37" s="140">
        <v>680294.79151395033</v>
      </c>
      <c r="F37" s="140">
        <v>540064.81850428367</v>
      </c>
      <c r="G37" s="140">
        <v>435056.72124824929</v>
      </c>
      <c r="H37" s="140">
        <v>1799.7716225080958</v>
      </c>
      <c r="I37" s="187">
        <v>2847.4684200788897</v>
      </c>
      <c r="J37" s="140">
        <v>6770.7146351749898</v>
      </c>
      <c r="K37" s="140">
        <v>7693.1106290435155</v>
      </c>
      <c r="L37" s="140">
        <v>2688.7265585004534</v>
      </c>
      <c r="M37" s="140">
        <v>2690.3034667514389</v>
      </c>
      <c r="N37" s="140">
        <v>565.8868569813859</v>
      </c>
      <c r="O37" s="187">
        <v>1876.2689462576709</v>
      </c>
      <c r="P37" s="140">
        <v>1570.4694821226726</v>
      </c>
      <c r="Q37" s="140">
        <v>1784.4195356778825</v>
      </c>
      <c r="R37" s="140">
        <v>1531.7417922410125</v>
      </c>
      <c r="S37" s="140">
        <v>1532.3187961820486</v>
      </c>
      <c r="T37" s="26">
        <f t="shared" si="12"/>
        <v>217676.41937232183</v>
      </c>
      <c r="U37" s="26">
        <f t="shared" si="12"/>
        <v>234162.90041879914</v>
      </c>
      <c r="V37" s="26">
        <f t="shared" si="12"/>
        <v>607069.3349575639</v>
      </c>
      <c r="W37" s="26">
        <f t="shared" si="12"/>
        <v>689772.32167867175</v>
      </c>
      <c r="X37" s="26">
        <f t="shared" si="12"/>
        <v>544285.2868550251</v>
      </c>
      <c r="Y37" s="26">
        <f t="shared" si="12"/>
        <v>439279.34351118276</v>
      </c>
    </row>
    <row r="38" spans="1:25" x14ac:dyDescent="0.35">
      <c r="A38" s="96">
        <v>2031</v>
      </c>
      <c r="B38" s="140">
        <v>263385.10571565432</v>
      </c>
      <c r="C38" s="189">
        <v>284570.41700648429</v>
      </c>
      <c r="D38" s="140">
        <v>718542.44196682889</v>
      </c>
      <c r="E38" s="140">
        <v>0</v>
      </c>
      <c r="F38" s="140">
        <v>0</v>
      </c>
      <c r="G38" s="140">
        <v>0</v>
      </c>
      <c r="H38" s="140">
        <v>2237.824211530165</v>
      </c>
      <c r="I38" s="187">
        <v>3497.2281996948655</v>
      </c>
      <c r="J38" s="140">
        <v>8335.8870510056931</v>
      </c>
      <c r="K38" s="140">
        <v>0</v>
      </c>
      <c r="L38" s="140">
        <v>0</v>
      </c>
      <c r="M38" s="140">
        <v>0</v>
      </c>
      <c r="N38" s="140">
        <v>716.02556991129779</v>
      </c>
      <c r="O38" s="187">
        <v>2456.0372026608129</v>
      </c>
      <c r="P38" s="140">
        <v>2002.4646221476228</v>
      </c>
      <c r="Q38" s="140">
        <v>0</v>
      </c>
      <c r="R38" s="140">
        <v>0</v>
      </c>
      <c r="S38" s="140">
        <v>0</v>
      </c>
      <c r="T38" s="26">
        <f t="shared" si="12"/>
        <v>266338.95549709577</v>
      </c>
      <c r="U38" s="26">
        <f t="shared" si="12"/>
        <v>290523.68240883999</v>
      </c>
      <c r="V38" s="26">
        <f t="shared" si="12"/>
        <v>728880.79363998224</v>
      </c>
      <c r="W38" s="26">
        <f t="shared" si="12"/>
        <v>0</v>
      </c>
      <c r="X38" s="26">
        <f t="shared" si="12"/>
        <v>0</v>
      </c>
      <c r="Y38" s="26">
        <f t="shared" si="12"/>
        <v>0</v>
      </c>
    </row>
    <row r="39" spans="1:25" x14ac:dyDescent="0.35">
      <c r="A39" s="96">
        <v>2032</v>
      </c>
      <c r="B39" s="140">
        <v>323131.2906943867</v>
      </c>
      <c r="C39" s="189">
        <v>353003.20629386359</v>
      </c>
      <c r="D39" s="140">
        <v>844777.57823171653</v>
      </c>
      <c r="E39" s="140">
        <v>0</v>
      </c>
      <c r="F39" s="140">
        <v>0</v>
      </c>
      <c r="G39" s="140">
        <v>0</v>
      </c>
      <c r="H39" s="140">
        <v>2745.4514705913089</v>
      </c>
      <c r="I39" s="187">
        <v>4338.2329780451964</v>
      </c>
      <c r="J39" s="140">
        <v>9800.3542505938767</v>
      </c>
      <c r="K39" s="140">
        <v>0</v>
      </c>
      <c r="L39" s="140">
        <v>0</v>
      </c>
      <c r="M39" s="140">
        <v>0</v>
      </c>
      <c r="N39" s="140">
        <v>878.44855899104834</v>
      </c>
      <c r="O39" s="187">
        <v>3046.6589480259404</v>
      </c>
      <c r="P39" s="140">
        <v>2354.2620660821754</v>
      </c>
      <c r="Q39" s="140">
        <v>0</v>
      </c>
      <c r="R39" s="140">
        <v>0</v>
      </c>
      <c r="S39" s="140">
        <v>0</v>
      </c>
      <c r="T39" s="26">
        <f t="shared" si="12"/>
        <v>326755.19072396908</v>
      </c>
      <c r="U39" s="26">
        <f t="shared" si="12"/>
        <v>360388.09821993473</v>
      </c>
      <c r="V39" s="26">
        <f t="shared" si="12"/>
        <v>856932.19454839267</v>
      </c>
      <c r="W39" s="26">
        <f t="shared" si="12"/>
        <v>0</v>
      </c>
      <c r="X39" s="26">
        <f t="shared" si="12"/>
        <v>0</v>
      </c>
      <c r="Y39" s="26">
        <f t="shared" si="12"/>
        <v>0</v>
      </c>
    </row>
    <row r="40" spans="1:25" x14ac:dyDescent="0.35">
      <c r="A40" s="96">
        <v>2033</v>
      </c>
      <c r="B40" s="140">
        <v>396766.1883489383</v>
      </c>
      <c r="C40" s="189">
        <v>437376.99741188879</v>
      </c>
      <c r="D40" s="140">
        <v>973915.58729531837</v>
      </c>
      <c r="E40" s="140">
        <v>0</v>
      </c>
      <c r="F40" s="140">
        <v>0</v>
      </c>
      <c r="G40" s="140">
        <v>0</v>
      </c>
      <c r="H40" s="140">
        <v>3371.0827352642509</v>
      </c>
      <c r="I40" s="187">
        <v>5375.1447017483606</v>
      </c>
      <c r="J40" s="140">
        <v>11298.497985290107</v>
      </c>
      <c r="K40" s="140">
        <v>0</v>
      </c>
      <c r="L40" s="140">
        <v>0</v>
      </c>
      <c r="M40" s="140">
        <v>0</v>
      </c>
      <c r="N40" s="140">
        <v>1078.6287074288293</v>
      </c>
      <c r="O40" s="187">
        <v>3774.8624348651242</v>
      </c>
      <c r="P40" s="140">
        <v>2714.1493593318337</v>
      </c>
      <c r="Q40" s="140">
        <v>0</v>
      </c>
      <c r="R40" s="140">
        <v>0</v>
      </c>
      <c r="S40" s="140">
        <v>0</v>
      </c>
      <c r="T40" s="26">
        <f t="shared" si="12"/>
        <v>401215.89979163138</v>
      </c>
      <c r="U40" s="26">
        <f t="shared" si="12"/>
        <v>446527.00454850233</v>
      </c>
      <c r="V40" s="26">
        <f t="shared" si="12"/>
        <v>987928.23463994032</v>
      </c>
      <c r="W40" s="26">
        <f t="shared" si="12"/>
        <v>0</v>
      </c>
      <c r="X40" s="26">
        <f t="shared" si="12"/>
        <v>0</v>
      </c>
      <c r="Y40" s="26">
        <f t="shared" si="12"/>
        <v>0</v>
      </c>
    </row>
    <row r="41" spans="1:25" x14ac:dyDescent="0.35">
      <c r="A41" s="96">
        <v>2034</v>
      </c>
      <c r="B41" s="140">
        <v>486338.80852630333</v>
      </c>
      <c r="C41" s="189">
        <v>540365.18224213063</v>
      </c>
      <c r="D41" s="140">
        <v>1106082.8283723602</v>
      </c>
      <c r="E41" s="140">
        <v>0</v>
      </c>
      <c r="F41" s="140">
        <v>0</v>
      </c>
      <c r="G41" s="140">
        <v>0</v>
      </c>
      <c r="H41" s="140">
        <v>4132.1272050282414</v>
      </c>
      <c r="I41" s="187">
        <v>6640.8180208955919</v>
      </c>
      <c r="J41" s="140">
        <v>12831.784161741352</v>
      </c>
      <c r="K41" s="140">
        <v>0</v>
      </c>
      <c r="L41" s="140">
        <v>0</v>
      </c>
      <c r="M41" s="140">
        <v>0</v>
      </c>
      <c r="N41" s="140">
        <v>1322.1363508723671</v>
      </c>
      <c r="O41" s="187">
        <v>4663.7208623798097</v>
      </c>
      <c r="P41" s="140">
        <v>3082.4786451276618</v>
      </c>
      <c r="Q41" s="140">
        <v>0</v>
      </c>
      <c r="R41" s="140">
        <v>0</v>
      </c>
      <c r="S41" s="140">
        <v>0</v>
      </c>
      <c r="T41" s="26">
        <f t="shared" si="12"/>
        <v>491793.07208220393</v>
      </c>
      <c r="U41" s="26">
        <f t="shared" si="12"/>
        <v>551669.72112540598</v>
      </c>
      <c r="V41" s="26">
        <f t="shared" si="12"/>
        <v>1121997.0911792293</v>
      </c>
      <c r="W41" s="26">
        <f t="shared" si="12"/>
        <v>0</v>
      </c>
      <c r="X41" s="26">
        <f t="shared" si="12"/>
        <v>0</v>
      </c>
      <c r="Y41" s="26">
        <f t="shared" si="12"/>
        <v>0</v>
      </c>
    </row>
    <row r="42" spans="1:25" x14ac:dyDescent="0.35">
      <c r="A42" s="96">
        <v>2035</v>
      </c>
      <c r="B42" s="140">
        <v>588700.91396548424</v>
      </c>
      <c r="C42" s="189">
        <v>647279.39288519591</v>
      </c>
      <c r="D42" s="140">
        <v>1241535.4047962038</v>
      </c>
      <c r="E42" s="140">
        <v>0</v>
      </c>
      <c r="F42" s="140">
        <v>0</v>
      </c>
      <c r="G42" s="140">
        <v>0</v>
      </c>
      <c r="H42" s="140">
        <v>5001.8362087799596</v>
      </c>
      <c r="I42" s="187">
        <v>7954.7402350958291</v>
      </c>
      <c r="J42" s="140">
        <v>14403.183861870692</v>
      </c>
      <c r="K42" s="140">
        <v>0</v>
      </c>
      <c r="L42" s="140">
        <v>0</v>
      </c>
      <c r="M42" s="140">
        <v>0</v>
      </c>
      <c r="N42" s="140">
        <v>1600.412849026126</v>
      </c>
      <c r="O42" s="187">
        <v>5586.4635760980091</v>
      </c>
      <c r="P42" s="140">
        <v>3459.963643125895</v>
      </c>
      <c r="Q42" s="140">
        <v>0</v>
      </c>
      <c r="R42" s="140">
        <v>0</v>
      </c>
      <c r="S42" s="140">
        <v>0</v>
      </c>
      <c r="T42" s="26">
        <f t="shared" si="12"/>
        <v>595303.16302329034</v>
      </c>
      <c r="U42" s="26">
        <f t="shared" si="12"/>
        <v>660820.59669638972</v>
      </c>
      <c r="V42" s="26">
        <f t="shared" si="12"/>
        <v>1259398.5523012006</v>
      </c>
      <c r="W42" s="26">
        <f t="shared" si="12"/>
        <v>0</v>
      </c>
      <c r="X42" s="26">
        <f t="shared" si="12"/>
        <v>0</v>
      </c>
      <c r="Y42" s="26">
        <f t="shared" si="12"/>
        <v>0</v>
      </c>
    </row>
    <row r="43" spans="1:25" x14ac:dyDescent="0.35">
      <c r="A43" s="96">
        <v>2036</v>
      </c>
      <c r="B43" s="140">
        <v>692092.50821301341</v>
      </c>
      <c r="C43" s="189">
        <v>755191.97290172148</v>
      </c>
      <c r="D43" s="140">
        <v>1379044.0919946029</v>
      </c>
      <c r="E43" s="140">
        <v>0</v>
      </c>
      <c r="F43" s="140">
        <v>0</v>
      </c>
      <c r="G43" s="140">
        <v>0</v>
      </c>
      <c r="H43" s="140">
        <v>5880.2921573316171</v>
      </c>
      <c r="I43" s="187">
        <v>9280.9319099213353</v>
      </c>
      <c r="J43" s="140">
        <v>15998.436721089887</v>
      </c>
      <c r="K43" s="140">
        <v>0</v>
      </c>
      <c r="L43" s="140">
        <v>0</v>
      </c>
      <c r="M43" s="140">
        <v>0</v>
      </c>
      <c r="N43" s="140">
        <v>1881.4880639437351</v>
      </c>
      <c r="O43" s="187">
        <v>6517.8228998946897</v>
      </c>
      <c r="P43" s="140">
        <v>3843.1786980348847</v>
      </c>
      <c r="Q43" s="140">
        <v>0</v>
      </c>
      <c r="R43" s="140">
        <v>0</v>
      </c>
      <c r="S43" s="140">
        <v>0</v>
      </c>
      <c r="T43" s="26">
        <f t="shared" si="12"/>
        <v>699854.2884342887</v>
      </c>
      <c r="U43" s="26">
        <f t="shared" si="12"/>
        <v>770990.7277115375</v>
      </c>
      <c r="V43" s="26">
        <f t="shared" si="12"/>
        <v>1398885.7074137279</v>
      </c>
      <c r="W43" s="26">
        <f t="shared" si="12"/>
        <v>0</v>
      </c>
      <c r="X43" s="26">
        <f t="shared" si="12"/>
        <v>0</v>
      </c>
      <c r="Y43" s="26">
        <f t="shared" si="12"/>
        <v>0</v>
      </c>
    </row>
    <row r="44" spans="1:25" x14ac:dyDescent="0.35">
      <c r="A44" s="96">
        <v>2037</v>
      </c>
      <c r="B44" s="140">
        <v>796536.06372977735</v>
      </c>
      <c r="C44" s="189">
        <v>864431.14936104848</v>
      </c>
      <c r="D44" s="140">
        <v>1518610.5918713296</v>
      </c>
      <c r="E44" s="140">
        <v>0</v>
      </c>
      <c r="F44" s="140">
        <v>0</v>
      </c>
      <c r="G44" s="140">
        <v>0</v>
      </c>
      <c r="H44" s="140">
        <v>6767.6859856145111</v>
      </c>
      <c r="I44" s="187">
        <v>10623.426792009857</v>
      </c>
      <c r="J44" s="140">
        <v>17617.562483365044</v>
      </c>
      <c r="K44" s="140">
        <v>0</v>
      </c>
      <c r="L44" s="140">
        <v>0</v>
      </c>
      <c r="M44" s="140">
        <v>0</v>
      </c>
      <c r="N44" s="140">
        <v>2165.4230881329499</v>
      </c>
      <c r="O44" s="187">
        <v>7460.6316577214848</v>
      </c>
      <c r="P44" s="140">
        <v>4232.1285527924101</v>
      </c>
      <c r="Q44" s="140">
        <v>0</v>
      </c>
      <c r="R44" s="140">
        <v>0</v>
      </c>
      <c r="S44" s="140">
        <v>0</v>
      </c>
      <c r="T44" s="26">
        <f t="shared" si="12"/>
        <v>805469.17280352488</v>
      </c>
      <c r="U44" s="26">
        <f t="shared" si="12"/>
        <v>882515.2078107798</v>
      </c>
      <c r="V44" s="26">
        <f t="shared" si="12"/>
        <v>1540460.2829074869</v>
      </c>
      <c r="W44" s="26">
        <f t="shared" si="12"/>
        <v>0</v>
      </c>
      <c r="X44" s="26">
        <f t="shared" si="12"/>
        <v>0</v>
      </c>
      <c r="Y44" s="26">
        <f t="shared" si="12"/>
        <v>0</v>
      </c>
    </row>
    <row r="45" spans="1:25" x14ac:dyDescent="0.35">
      <c r="A45" s="96">
        <v>2038</v>
      </c>
      <c r="B45" s="140">
        <v>902120.03820661979</v>
      </c>
      <c r="C45" s="189">
        <v>974794.09873393434</v>
      </c>
      <c r="D45" s="140">
        <v>1660340.7805413234</v>
      </c>
      <c r="E45" s="140">
        <v>0</v>
      </c>
      <c r="F45" s="140">
        <v>0</v>
      </c>
      <c r="G45" s="140">
        <v>0</v>
      </c>
      <c r="H45" s="140">
        <v>7664.7692652170517</v>
      </c>
      <c r="I45" s="187">
        <v>11979.732281556082</v>
      </c>
      <c r="J45" s="140">
        <v>19261.789428730834</v>
      </c>
      <c r="K45" s="140">
        <v>0</v>
      </c>
      <c r="L45" s="140">
        <v>0</v>
      </c>
      <c r="M45" s="140">
        <v>0</v>
      </c>
      <c r="N45" s="140">
        <v>2452.4583982461127</v>
      </c>
      <c r="O45" s="187">
        <v>8413.1393438911364</v>
      </c>
      <c r="P45" s="140">
        <v>4627.108267456324</v>
      </c>
      <c r="Q45" s="140">
        <v>0</v>
      </c>
      <c r="R45" s="140">
        <v>0</v>
      </c>
      <c r="S45" s="140">
        <v>0</v>
      </c>
      <c r="T45" s="26">
        <f t="shared" si="12"/>
        <v>912237.26587008289</v>
      </c>
      <c r="U45" s="26">
        <f t="shared" si="12"/>
        <v>995186.97035938164</v>
      </c>
      <c r="V45" s="26">
        <f t="shared" si="12"/>
        <v>1684229.6782375104</v>
      </c>
      <c r="W45" s="26">
        <f t="shared" si="12"/>
        <v>0</v>
      </c>
      <c r="X45" s="26">
        <f t="shared" si="12"/>
        <v>0</v>
      </c>
      <c r="Y45" s="26">
        <f t="shared" si="12"/>
        <v>0</v>
      </c>
    </row>
    <row r="46" spans="1:25" x14ac:dyDescent="0.35">
      <c r="A46" s="96">
        <v>2039</v>
      </c>
      <c r="B46" s="140">
        <v>1008746.7999228836</v>
      </c>
      <c r="C46" s="189">
        <v>1087481.610298367</v>
      </c>
      <c r="D46" s="140">
        <v>1804086.2730822675</v>
      </c>
      <c r="E46" s="140">
        <v>0</v>
      </c>
      <c r="F46" s="140">
        <v>0</v>
      </c>
      <c r="G46" s="140">
        <v>0</v>
      </c>
      <c r="H46" s="140">
        <v>8570.7124783587769</v>
      </c>
      <c r="I46" s="187">
        <v>13364.605478644575</v>
      </c>
      <c r="J46" s="140">
        <v>20929.396127971304</v>
      </c>
      <c r="K46" s="140">
        <v>0</v>
      </c>
      <c r="L46" s="140">
        <v>0</v>
      </c>
      <c r="M46" s="140">
        <v>0</v>
      </c>
      <c r="N46" s="140">
        <v>2742.3285775724535</v>
      </c>
      <c r="O46" s="187">
        <v>9385.7095906122177</v>
      </c>
      <c r="P46" s="140">
        <v>5027.704316617348</v>
      </c>
      <c r="Q46" s="140">
        <v>0</v>
      </c>
      <c r="R46" s="140">
        <v>0</v>
      </c>
      <c r="S46" s="140">
        <v>0</v>
      </c>
      <c r="T46" s="26">
        <f t="shared" si="12"/>
        <v>1020059.8409788149</v>
      </c>
      <c r="U46" s="26">
        <f t="shared" si="12"/>
        <v>1110231.9253676238</v>
      </c>
      <c r="V46" s="26">
        <f t="shared" si="12"/>
        <v>1830043.3735268563</v>
      </c>
      <c r="W46" s="26">
        <f t="shared" si="12"/>
        <v>0</v>
      </c>
      <c r="X46" s="26">
        <f t="shared" si="12"/>
        <v>0</v>
      </c>
      <c r="Y46" s="26">
        <f t="shared" si="12"/>
        <v>0</v>
      </c>
    </row>
    <row r="47" spans="1:25" x14ac:dyDescent="0.35">
      <c r="A47" s="96">
        <v>2040</v>
      </c>
      <c r="B47" s="140">
        <v>1118141.8010828877</v>
      </c>
      <c r="C47" s="189">
        <v>1201093.2723331291</v>
      </c>
      <c r="D47" s="140">
        <v>1951517.5413391995</v>
      </c>
      <c r="E47" s="140">
        <v>0</v>
      </c>
      <c r="F47" s="140">
        <v>0</v>
      </c>
      <c r="G47" s="140">
        <v>0</v>
      </c>
      <c r="H47" s="140">
        <v>9500.1757505929963</v>
      </c>
      <c r="I47" s="187">
        <v>14760.836023132686</v>
      </c>
      <c r="J47" s="140">
        <v>22639.761902068531</v>
      </c>
      <c r="K47" s="140">
        <v>0</v>
      </c>
      <c r="L47" s="140">
        <v>0</v>
      </c>
      <c r="M47" s="140">
        <v>0</v>
      </c>
      <c r="N47" s="140">
        <v>3039.7243541415437</v>
      </c>
      <c r="O47" s="187">
        <v>10366.255887549136</v>
      </c>
      <c r="P47" s="140">
        <v>5438.5720422241411</v>
      </c>
      <c r="Q47" s="140">
        <v>0</v>
      </c>
      <c r="R47" s="140">
        <v>0</v>
      </c>
      <c r="S47" s="140">
        <v>0</v>
      </c>
      <c r="T47" s="26">
        <f t="shared" si="12"/>
        <v>1130681.7011876223</v>
      </c>
      <c r="U47" s="26">
        <f t="shared" si="12"/>
        <v>1226220.364243811</v>
      </c>
      <c r="V47" s="26">
        <f t="shared" si="12"/>
        <v>1979595.8752834923</v>
      </c>
      <c r="W47" s="26">
        <f t="shared" si="12"/>
        <v>0</v>
      </c>
      <c r="X47" s="26">
        <f t="shared" si="12"/>
        <v>0</v>
      </c>
      <c r="Y47" s="26">
        <f t="shared" si="12"/>
        <v>0</v>
      </c>
    </row>
    <row r="48" spans="1:25" x14ac:dyDescent="0.35">
      <c r="A48" s="96">
        <v>2041</v>
      </c>
      <c r="B48" s="140">
        <v>1225018.86235034</v>
      </c>
      <c r="C48" s="189">
        <v>1313559.5263794221</v>
      </c>
      <c r="D48" s="140">
        <v>2096840.7905802708</v>
      </c>
      <c r="E48" s="140">
        <v>0</v>
      </c>
      <c r="F48" s="140">
        <v>0</v>
      </c>
      <c r="G48" s="140">
        <v>0</v>
      </c>
      <c r="H48" s="140">
        <v>10408.245607890482</v>
      </c>
      <c r="I48" s="187">
        <v>16142.990075905431</v>
      </c>
      <c r="J48" s="140">
        <v>24325.672324065068</v>
      </c>
      <c r="K48" s="140">
        <v>0</v>
      </c>
      <c r="L48" s="140">
        <v>0</v>
      </c>
      <c r="M48" s="140">
        <v>0</v>
      </c>
      <c r="N48" s="140">
        <v>3330.2749853039941</v>
      </c>
      <c r="O48" s="187">
        <v>11336.916530659146</v>
      </c>
      <c r="P48" s="140">
        <v>5843.5650508267154</v>
      </c>
      <c r="Q48" s="140">
        <v>0</v>
      </c>
      <c r="R48" s="140">
        <v>0</v>
      </c>
      <c r="S48" s="140">
        <v>0</v>
      </c>
      <c r="T48" s="26">
        <f t="shared" si="12"/>
        <v>1238757.3829435345</v>
      </c>
      <c r="U48" s="26">
        <f t="shared" si="12"/>
        <v>1341039.4329859866</v>
      </c>
      <c r="V48" s="26">
        <f t="shared" si="12"/>
        <v>2127010.0279551628</v>
      </c>
      <c r="W48" s="26">
        <f t="shared" si="12"/>
        <v>0</v>
      </c>
      <c r="X48" s="26">
        <f t="shared" si="12"/>
        <v>0</v>
      </c>
      <c r="Y48" s="26">
        <f t="shared" si="12"/>
        <v>0</v>
      </c>
    </row>
    <row r="49" spans="1:25" x14ac:dyDescent="0.35">
      <c r="A49" s="96">
        <v>2042</v>
      </c>
      <c r="B49" s="140">
        <v>1336241.0792458982</v>
      </c>
      <c r="C49" s="189">
        <v>1420239.6143447452</v>
      </c>
      <c r="D49" s="140">
        <v>2210511.520424244</v>
      </c>
      <c r="E49" s="140">
        <v>0</v>
      </c>
      <c r="F49" s="140">
        <v>0</v>
      </c>
      <c r="G49" s="140">
        <v>0</v>
      </c>
      <c r="H49" s="140">
        <v>11353.233628958169</v>
      </c>
      <c r="I49" s="187">
        <v>17454.035039408282</v>
      </c>
      <c r="J49" s="140">
        <v>25644.378512653002</v>
      </c>
      <c r="K49" s="140">
        <v>0</v>
      </c>
      <c r="L49" s="140">
        <v>0</v>
      </c>
      <c r="M49" s="140">
        <v>0</v>
      </c>
      <c r="N49" s="140">
        <v>3632.6381391469295</v>
      </c>
      <c r="O49" s="187">
        <v>12257.638605645569</v>
      </c>
      <c r="P49" s="140">
        <v>6160.3474728409246</v>
      </c>
      <c r="Q49" s="140">
        <v>0</v>
      </c>
      <c r="R49" s="140">
        <v>0</v>
      </c>
      <c r="S49" s="140">
        <v>0</v>
      </c>
      <c r="T49" s="26">
        <f t="shared" si="12"/>
        <v>1351226.9510140033</v>
      </c>
      <c r="U49" s="26">
        <f t="shared" si="12"/>
        <v>1449951.2879897992</v>
      </c>
      <c r="V49" s="26">
        <f t="shared" si="12"/>
        <v>2242316.246409738</v>
      </c>
      <c r="W49" s="26">
        <f t="shared" si="12"/>
        <v>0</v>
      </c>
      <c r="X49" s="26">
        <f t="shared" si="12"/>
        <v>0</v>
      </c>
      <c r="Y49" s="26">
        <f t="shared" si="12"/>
        <v>0</v>
      </c>
    </row>
    <row r="50" spans="1:25" x14ac:dyDescent="0.35">
      <c r="A50" s="96">
        <v>2043</v>
      </c>
      <c r="B50" s="140">
        <v>1446481.1101418131</v>
      </c>
      <c r="C50" s="189">
        <v>1524855.720789081</v>
      </c>
      <c r="D50" s="140">
        <v>2305734.7459534663</v>
      </c>
      <c r="E50" s="140">
        <v>0</v>
      </c>
      <c r="F50" s="140">
        <v>0</v>
      </c>
      <c r="G50" s="140">
        <v>0</v>
      </c>
      <c r="H50" s="140">
        <v>12289.876608630078</v>
      </c>
      <c r="I50" s="187">
        <v>18739.71470157455</v>
      </c>
      <c r="J50" s="140">
        <v>26749.073247832865</v>
      </c>
      <c r="K50" s="140">
        <v>0</v>
      </c>
      <c r="L50" s="140">
        <v>0</v>
      </c>
      <c r="M50" s="140">
        <v>0</v>
      </c>
      <c r="N50" s="140">
        <v>3932.331171274961</v>
      </c>
      <c r="O50" s="187">
        <v>13160.547109374393</v>
      </c>
      <c r="P50" s="140">
        <v>6425.7196056367411</v>
      </c>
      <c r="Q50" s="140">
        <v>0</v>
      </c>
      <c r="R50" s="140">
        <v>0</v>
      </c>
      <c r="S50" s="140">
        <v>0</v>
      </c>
      <c r="T50" s="26">
        <f t="shared" si="12"/>
        <v>1462703.3179217181</v>
      </c>
      <c r="U50" s="26">
        <f t="shared" si="12"/>
        <v>1556755.9826000298</v>
      </c>
      <c r="V50" s="26">
        <f t="shared" si="12"/>
        <v>2338909.5388069358</v>
      </c>
      <c r="W50" s="26">
        <f t="shared" si="12"/>
        <v>0</v>
      </c>
      <c r="X50" s="26">
        <f t="shared" si="12"/>
        <v>0</v>
      </c>
      <c r="Y50" s="26">
        <f t="shared" si="12"/>
        <v>0</v>
      </c>
    </row>
    <row r="51" spans="1:25" x14ac:dyDescent="0.35">
      <c r="A51" s="96">
        <v>2044</v>
      </c>
      <c r="B51" s="140">
        <v>1558969.3444919738</v>
      </c>
      <c r="C51" s="189">
        <v>1630305.9083822183</v>
      </c>
      <c r="D51" s="140">
        <v>2412949.3200857509</v>
      </c>
      <c r="E51" s="140">
        <v>0</v>
      </c>
      <c r="F51" s="140">
        <v>0</v>
      </c>
      <c r="G51" s="140">
        <v>0</v>
      </c>
      <c r="H51" s="140">
        <v>13245.621215589103</v>
      </c>
      <c r="I51" s="187">
        <v>20035.644804194566</v>
      </c>
      <c r="J51" s="140">
        <v>27992.880889510987</v>
      </c>
      <c r="K51" s="140">
        <v>0</v>
      </c>
      <c r="L51" s="140">
        <v>0</v>
      </c>
      <c r="M51" s="140">
        <v>0</v>
      </c>
      <c r="N51" s="140">
        <v>4238.1360568247301</v>
      </c>
      <c r="O51" s="187">
        <v>14070.654303511883</v>
      </c>
      <c r="P51" s="140">
        <v>6724.5097384657147</v>
      </c>
      <c r="Q51" s="140">
        <v>0</v>
      </c>
      <c r="R51" s="140">
        <v>0</v>
      </c>
      <c r="S51" s="140">
        <v>0</v>
      </c>
      <c r="T51" s="26">
        <f t="shared" si="12"/>
        <v>1576453.1017643877</v>
      </c>
      <c r="U51" s="26">
        <f t="shared" si="12"/>
        <v>1664412.2074899247</v>
      </c>
      <c r="V51" s="26">
        <f t="shared" si="12"/>
        <v>2447666.7107137279</v>
      </c>
      <c r="W51" s="26">
        <f t="shared" si="12"/>
        <v>0</v>
      </c>
      <c r="X51" s="26">
        <f t="shared" si="12"/>
        <v>0</v>
      </c>
      <c r="Y51" s="26">
        <f t="shared" si="12"/>
        <v>0</v>
      </c>
    </row>
    <row r="52" spans="1:25" x14ac:dyDescent="0.35">
      <c r="A52" s="96">
        <v>2045</v>
      </c>
      <c r="B52" s="140">
        <v>1674961.0768784697</v>
      </c>
      <c r="C52" s="189">
        <v>1740853.8661700557</v>
      </c>
      <c r="D52" s="140">
        <v>2545023.2563655553</v>
      </c>
      <c r="E52" s="140">
        <v>0</v>
      </c>
      <c r="F52" s="140">
        <v>0</v>
      </c>
      <c r="G52" s="140">
        <v>0</v>
      </c>
      <c r="H52" s="140">
        <v>14231.132929953294</v>
      </c>
      <c r="I52" s="187">
        <v>21394.223954695273</v>
      </c>
      <c r="J52" s="140">
        <v>29525.084627117067</v>
      </c>
      <c r="K52" s="140">
        <v>0</v>
      </c>
      <c r="L52" s="140">
        <v>0</v>
      </c>
      <c r="M52" s="140">
        <v>0</v>
      </c>
      <c r="N52" s="140">
        <v>4553.4653768383751</v>
      </c>
      <c r="O52" s="187">
        <v>15024.758738755829</v>
      </c>
      <c r="P52" s="140">
        <v>7092.5789984862622</v>
      </c>
      <c r="Q52" s="140">
        <v>0</v>
      </c>
      <c r="R52" s="140">
        <v>0</v>
      </c>
      <c r="S52" s="140">
        <v>0</v>
      </c>
      <c r="T52" s="26">
        <f t="shared" si="12"/>
        <v>1693745.6751852613</v>
      </c>
      <c r="U52" s="26">
        <f t="shared" si="12"/>
        <v>1777272.8488635067</v>
      </c>
      <c r="V52" s="26">
        <f t="shared" si="12"/>
        <v>2581640.9199911584</v>
      </c>
      <c r="W52" s="26">
        <f t="shared" si="12"/>
        <v>0</v>
      </c>
      <c r="X52" s="26">
        <f t="shared" si="12"/>
        <v>0</v>
      </c>
      <c r="Y52" s="26">
        <f t="shared" si="12"/>
        <v>0</v>
      </c>
    </row>
    <row r="53" spans="1:25" x14ac:dyDescent="0.35">
      <c r="A53" s="96">
        <v>2046</v>
      </c>
      <c r="B53" s="140">
        <v>1792584.6206783231</v>
      </c>
      <c r="C53" s="189">
        <v>1850947.5192871683</v>
      </c>
      <c r="D53" s="140">
        <v>2684713.6168364207</v>
      </c>
      <c r="E53" s="140">
        <v>0</v>
      </c>
      <c r="F53" s="140">
        <v>0</v>
      </c>
      <c r="G53" s="140">
        <v>0</v>
      </c>
      <c r="H53" s="140">
        <v>15230.509160610236</v>
      </c>
      <c r="I53" s="187">
        <v>22747.219927849495</v>
      </c>
      <c r="J53" s="140">
        <v>31145.647309276846</v>
      </c>
      <c r="K53" s="140">
        <v>0</v>
      </c>
      <c r="L53" s="140">
        <v>0</v>
      </c>
      <c r="M53" s="140">
        <v>0</v>
      </c>
      <c r="N53" s="140">
        <v>4873.2308577126068</v>
      </c>
      <c r="O53" s="187">
        <v>15974.942214174152</v>
      </c>
      <c r="P53" s="140">
        <v>7481.8740332127836</v>
      </c>
      <c r="Q53" s="140">
        <v>0</v>
      </c>
      <c r="R53" s="140">
        <v>0</v>
      </c>
      <c r="S53" s="140">
        <v>0</v>
      </c>
      <c r="T53" s="26">
        <f t="shared" si="12"/>
        <v>1812688.3606966459</v>
      </c>
      <c r="U53" s="26">
        <f t="shared" si="12"/>
        <v>1889669.681429192</v>
      </c>
      <c r="V53" s="26">
        <f t="shared" si="12"/>
        <v>2723341.1381789101</v>
      </c>
      <c r="W53" s="26">
        <f t="shared" si="12"/>
        <v>0</v>
      </c>
      <c r="X53" s="26">
        <f t="shared" si="12"/>
        <v>0</v>
      </c>
      <c r="Y53" s="26">
        <f t="shared" si="12"/>
        <v>0</v>
      </c>
    </row>
    <row r="54" spans="1:25" x14ac:dyDescent="0.35">
      <c r="A54" s="96">
        <v>2047</v>
      </c>
      <c r="B54" s="140">
        <v>1911585.0959482065</v>
      </c>
      <c r="C54" s="189">
        <v>1961864.2361977517</v>
      </c>
      <c r="D54" s="140">
        <v>2829082.0095913084</v>
      </c>
      <c r="E54" s="140">
        <v>0</v>
      </c>
      <c r="F54" s="140">
        <v>0</v>
      </c>
      <c r="G54" s="140">
        <v>0</v>
      </c>
      <c r="H54" s="140">
        <v>16241.5843465778</v>
      </c>
      <c r="I54" s="187">
        <v>24110.330943666806</v>
      </c>
      <c r="J54" s="140">
        <v>32820.48033994079</v>
      </c>
      <c r="K54" s="140">
        <v>0</v>
      </c>
      <c r="L54" s="140">
        <v>0</v>
      </c>
      <c r="M54" s="140">
        <v>0</v>
      </c>
      <c r="N54" s="140">
        <v>5196.7395955864258</v>
      </c>
      <c r="O54" s="187">
        <v>16932.229292694276</v>
      </c>
      <c r="P54" s="140">
        <v>7884.2060071691976</v>
      </c>
      <c r="Q54" s="140">
        <v>0</v>
      </c>
      <c r="R54" s="140">
        <v>0</v>
      </c>
      <c r="S54" s="140">
        <v>0</v>
      </c>
      <c r="T54" s="26">
        <f t="shared" si="12"/>
        <v>1933023.4198903707</v>
      </c>
      <c r="U54" s="26">
        <f t="shared" si="12"/>
        <v>2002906.7964341128</v>
      </c>
      <c r="V54" s="26">
        <f t="shared" si="12"/>
        <v>2869786.6959384182</v>
      </c>
      <c r="W54" s="26">
        <f t="shared" si="12"/>
        <v>0</v>
      </c>
      <c r="X54" s="26">
        <f t="shared" si="12"/>
        <v>0</v>
      </c>
      <c r="Y54" s="26">
        <f t="shared" si="12"/>
        <v>0</v>
      </c>
    </row>
    <row r="55" spans="1:25" x14ac:dyDescent="0.35">
      <c r="A55" s="96">
        <v>2048</v>
      </c>
      <c r="B55" s="140">
        <v>2031357.8531914023</v>
      </c>
      <c r="C55" s="189">
        <v>2071976.9512029146</v>
      </c>
      <c r="D55" s="140">
        <v>2971534.9298101082</v>
      </c>
      <c r="E55" s="140">
        <v>0</v>
      </c>
      <c r="F55" s="140">
        <v>0</v>
      </c>
      <c r="G55" s="140">
        <v>0</v>
      </c>
      <c r="H55" s="140">
        <v>17259.221146169304</v>
      </c>
      <c r="I55" s="187">
        <v>25463.561177898235</v>
      </c>
      <c r="J55" s="140">
        <v>34473.091770630163</v>
      </c>
      <c r="K55" s="140">
        <v>0</v>
      </c>
      <c r="L55" s="140">
        <v>0</v>
      </c>
      <c r="M55" s="140">
        <v>0</v>
      </c>
      <c r="N55" s="140">
        <v>5522.3478205917227</v>
      </c>
      <c r="O55" s="187">
        <v>17882.577285235275</v>
      </c>
      <c r="P55" s="140">
        <v>8281.1998608362755</v>
      </c>
      <c r="Q55" s="140">
        <v>0</v>
      </c>
      <c r="R55" s="140">
        <v>0</v>
      </c>
      <c r="S55" s="140">
        <v>0</v>
      </c>
      <c r="T55" s="26">
        <f t="shared" si="12"/>
        <v>2054139.4221581633</v>
      </c>
      <c r="U55" s="26">
        <f t="shared" si="12"/>
        <v>2115323.0896660481</v>
      </c>
      <c r="V55" s="26">
        <f t="shared" si="12"/>
        <v>3014289.2214415749</v>
      </c>
      <c r="W55" s="26">
        <f t="shared" si="12"/>
        <v>0</v>
      </c>
      <c r="X55" s="26">
        <f t="shared" si="12"/>
        <v>0</v>
      </c>
      <c r="Y55" s="26">
        <f t="shared" si="12"/>
        <v>0</v>
      </c>
    </row>
    <row r="56" spans="1:25" x14ac:dyDescent="0.35">
      <c r="A56" s="96">
        <v>2049</v>
      </c>
      <c r="B56" s="140">
        <v>2151729.2328814194</v>
      </c>
      <c r="C56" s="189">
        <v>2181279.789551469</v>
      </c>
      <c r="D56" s="140">
        <v>3111976.4615135649</v>
      </c>
      <c r="E56" s="140">
        <v>0</v>
      </c>
      <c r="F56" s="140">
        <v>0</v>
      </c>
      <c r="G56" s="140">
        <v>0</v>
      </c>
      <c r="H56" s="140">
        <v>18281.944079243651</v>
      </c>
      <c r="I56" s="187">
        <v>26806.838432787816</v>
      </c>
      <c r="J56" s="140">
        <v>36102.368869900376</v>
      </c>
      <c r="K56" s="140">
        <v>0</v>
      </c>
      <c r="L56" s="140">
        <v>0</v>
      </c>
      <c r="M56" s="140">
        <v>0</v>
      </c>
      <c r="N56" s="140">
        <v>5849.5834306288434</v>
      </c>
      <c r="O56" s="187">
        <v>18825.93548867901</v>
      </c>
      <c r="P56" s="140">
        <v>8672.5882914856902</v>
      </c>
      <c r="Q56" s="140">
        <v>0</v>
      </c>
      <c r="R56" s="140">
        <v>0</v>
      </c>
      <c r="S56" s="140">
        <v>0</v>
      </c>
      <c r="T56" s="26">
        <f t="shared" si="12"/>
        <v>2175860.7603912917</v>
      </c>
      <c r="U56" s="26">
        <f t="shared" si="12"/>
        <v>2226912.5634729359</v>
      </c>
      <c r="V56" s="26">
        <f t="shared" si="12"/>
        <v>3156751.418674951</v>
      </c>
      <c r="W56" s="26">
        <f t="shared" si="12"/>
        <v>0</v>
      </c>
      <c r="X56" s="26">
        <f t="shared" si="12"/>
        <v>0</v>
      </c>
      <c r="Y56" s="26">
        <f t="shared" si="12"/>
        <v>0</v>
      </c>
    </row>
    <row r="57" spans="1:25" x14ac:dyDescent="0.35">
      <c r="A57" s="96">
        <v>2050</v>
      </c>
      <c r="B57" s="140">
        <v>2272477.8597860592</v>
      </c>
      <c r="C57" s="189">
        <v>2289158.2747066589</v>
      </c>
      <c r="D57" s="140">
        <v>3250265.9839838883</v>
      </c>
      <c r="E57" s="140">
        <v>0</v>
      </c>
      <c r="F57" s="140">
        <v>0</v>
      </c>
      <c r="G57" s="140">
        <v>0</v>
      </c>
      <c r="H57" s="140">
        <v>19307.872254119051</v>
      </c>
      <c r="I57" s="187">
        <v>28132.61109880776</v>
      </c>
      <c r="J57" s="140">
        <v>37706.680281895366</v>
      </c>
      <c r="K57" s="140">
        <v>0</v>
      </c>
      <c r="L57" s="140">
        <v>0</v>
      </c>
      <c r="M57" s="140">
        <v>0</v>
      </c>
      <c r="N57" s="140">
        <v>6177.8446060680544</v>
      </c>
      <c r="O57" s="187">
        <v>19757.000550518522</v>
      </c>
      <c r="P57" s="140">
        <v>9057.9794113233911</v>
      </c>
      <c r="Q57" s="140">
        <v>0</v>
      </c>
      <c r="R57" s="140">
        <v>0</v>
      </c>
      <c r="S57" s="140">
        <v>0</v>
      </c>
      <c r="T57" s="26">
        <f t="shared" si="12"/>
        <v>2297963.5766462465</v>
      </c>
      <c r="U57" s="26">
        <f t="shared" si="12"/>
        <v>2337047.8863559854</v>
      </c>
      <c r="V57" s="26">
        <f t="shared" si="12"/>
        <v>3297030.6436771071</v>
      </c>
      <c r="W57" s="26">
        <f t="shared" si="12"/>
        <v>0</v>
      </c>
      <c r="X57" s="26">
        <f t="shared" si="12"/>
        <v>0</v>
      </c>
      <c r="Y57" s="26">
        <f t="shared" si="12"/>
        <v>0</v>
      </c>
    </row>
    <row r="58" spans="1:25" x14ac:dyDescent="0.35">
      <c r="A58" s="96">
        <v>2051</v>
      </c>
      <c r="B58" s="140">
        <v>2393774.8855624963</v>
      </c>
      <c r="C58" s="189">
        <v>2396164.5742945448</v>
      </c>
      <c r="D58" s="140">
        <v>3386803.0021094591</v>
      </c>
      <c r="E58" s="140">
        <v>0</v>
      </c>
      <c r="F58" s="140">
        <v>0</v>
      </c>
      <c r="G58" s="140">
        <v>0</v>
      </c>
      <c r="H58" s="140">
        <v>20338.459843085271</v>
      </c>
      <c r="I58" s="187">
        <v>29447.665040114753</v>
      </c>
      <c r="J58" s="140">
        <v>39290.660705181785</v>
      </c>
      <c r="K58" s="140">
        <v>0</v>
      </c>
      <c r="L58" s="140">
        <v>0</v>
      </c>
      <c r="M58" s="140">
        <v>0</v>
      </c>
      <c r="N58" s="140">
        <v>6507.5966312409664</v>
      </c>
      <c r="O58" s="187">
        <v>20680.538054773322</v>
      </c>
      <c r="P58" s="140">
        <v>9438.4865775550625</v>
      </c>
      <c r="Q58" s="140">
        <v>0</v>
      </c>
      <c r="R58" s="140">
        <v>0</v>
      </c>
      <c r="S58" s="140">
        <v>0</v>
      </c>
      <c r="T58" s="26">
        <f t="shared" si="12"/>
        <v>2420620.9420368224</v>
      </c>
      <c r="U58" s="26">
        <f t="shared" si="12"/>
        <v>2446292.7773894328</v>
      </c>
      <c r="V58" s="26">
        <f t="shared" si="12"/>
        <v>3435532.149392196</v>
      </c>
      <c r="W58" s="26">
        <f t="shared" si="12"/>
        <v>0</v>
      </c>
      <c r="X58" s="26">
        <f t="shared" si="12"/>
        <v>0</v>
      </c>
      <c r="Y58" s="26">
        <f t="shared" si="12"/>
        <v>0</v>
      </c>
    </row>
    <row r="59" spans="1:25" x14ac:dyDescent="0.35">
      <c r="C59" s="189">
        <v>2501341.7674424285</v>
      </c>
      <c r="I59">
        <v>30740.240177442367</v>
      </c>
      <c r="O59">
        <v>21588.289120256555</v>
      </c>
    </row>
    <row r="61" spans="1:25" x14ac:dyDescent="0.35">
      <c r="B61" s="2" t="s">
        <v>82</v>
      </c>
    </row>
    <row r="62" spans="1:25" x14ac:dyDescent="0.35">
      <c r="B62" s="92" t="s">
        <v>78</v>
      </c>
      <c r="C62" s="93"/>
      <c r="D62" s="93"/>
      <c r="E62" s="93"/>
      <c r="F62" s="93"/>
      <c r="G62" s="93"/>
      <c r="H62" s="92" t="s">
        <v>79</v>
      </c>
      <c r="I62" s="93"/>
      <c r="J62" s="93"/>
      <c r="K62" s="93"/>
      <c r="L62" s="93"/>
      <c r="M62" s="93"/>
      <c r="N62" s="92" t="s">
        <v>80</v>
      </c>
      <c r="O62" s="93"/>
      <c r="P62" s="93"/>
      <c r="Q62" s="93"/>
      <c r="R62" s="93"/>
      <c r="S62" s="93"/>
      <c r="T62" s="92" t="s">
        <v>27</v>
      </c>
      <c r="U62" s="93"/>
      <c r="V62" s="93"/>
      <c r="W62" s="93"/>
      <c r="X62" s="93"/>
      <c r="Y62" s="93"/>
    </row>
    <row r="63" spans="1:25" x14ac:dyDescent="0.35">
      <c r="A63" s="2" t="s">
        <v>157</v>
      </c>
      <c r="B63" s="94" t="s">
        <v>160</v>
      </c>
      <c r="C63" s="95" t="s">
        <v>154</v>
      </c>
      <c r="D63" s="95" t="s">
        <v>161</v>
      </c>
      <c r="E63" s="95" t="s">
        <v>162</v>
      </c>
      <c r="F63" s="95" t="s">
        <v>163</v>
      </c>
      <c r="G63" s="95" t="s">
        <v>164</v>
      </c>
      <c r="H63" s="94" t="s">
        <v>160</v>
      </c>
      <c r="I63" s="95" t="s">
        <v>154</v>
      </c>
      <c r="J63" s="95" t="s">
        <v>161</v>
      </c>
      <c r="K63" s="95" t="s">
        <v>162</v>
      </c>
      <c r="L63" s="95" t="s">
        <v>163</v>
      </c>
      <c r="M63" s="95" t="s">
        <v>164</v>
      </c>
      <c r="N63" s="94" t="s">
        <v>160</v>
      </c>
      <c r="O63" s="95" t="s">
        <v>154</v>
      </c>
      <c r="P63" s="95" t="s">
        <v>161</v>
      </c>
      <c r="Q63" s="95" t="s">
        <v>162</v>
      </c>
      <c r="R63" s="95" t="s">
        <v>163</v>
      </c>
      <c r="S63" s="95" t="s">
        <v>164</v>
      </c>
      <c r="T63" s="94" t="s">
        <v>160</v>
      </c>
      <c r="U63" s="95" t="s">
        <v>154</v>
      </c>
      <c r="V63" s="95" t="s">
        <v>161</v>
      </c>
      <c r="W63" s="95" t="s">
        <v>162</v>
      </c>
      <c r="X63" s="95" t="s">
        <v>163</v>
      </c>
      <c r="Y63" s="95" t="s">
        <v>164</v>
      </c>
    </row>
    <row r="64" spans="1:25" x14ac:dyDescent="0.35">
      <c r="A64" s="96">
        <v>2021</v>
      </c>
      <c r="B64" s="140">
        <v>151163.79488199926</v>
      </c>
      <c r="C64" s="187">
        <v>73516.331556949866</v>
      </c>
      <c r="D64" s="140">
        <v>151163.79488199926</v>
      </c>
      <c r="E64" s="140">
        <v>151163.79488199926</v>
      </c>
      <c r="F64" s="140">
        <f>E64</f>
        <v>151163.79488199926</v>
      </c>
      <c r="G64" s="140">
        <f>F64</f>
        <v>151163.79488199926</v>
      </c>
      <c r="H64" s="140">
        <v>0</v>
      </c>
      <c r="I64" s="187">
        <v>0</v>
      </c>
      <c r="J64" s="140">
        <v>0</v>
      </c>
      <c r="K64" s="140">
        <v>0</v>
      </c>
      <c r="L64" s="140">
        <f>K64</f>
        <v>0</v>
      </c>
      <c r="M64" s="140">
        <f>L64</f>
        <v>0</v>
      </c>
      <c r="N64" s="140">
        <v>6985.0732751423129</v>
      </c>
      <c r="O64" s="187">
        <v>1046.2826761851127</v>
      </c>
      <c r="P64" s="140">
        <v>6985.0732751423129</v>
      </c>
      <c r="Q64" s="140">
        <v>6985.0732751423129</v>
      </c>
      <c r="R64" s="140">
        <f>Q64</f>
        <v>6985.0732751423129</v>
      </c>
      <c r="S64" s="140">
        <f>R64</f>
        <v>6985.0732751423129</v>
      </c>
      <c r="T64" s="19">
        <f t="shared" ref="T64:Y94" si="13">SUM(B64,H64,N64)</f>
        <v>158148.86815714158</v>
      </c>
      <c r="U64" s="19">
        <f t="shared" si="13"/>
        <v>74562.614233134984</v>
      </c>
      <c r="V64" s="19">
        <f t="shared" si="13"/>
        <v>158148.86815714158</v>
      </c>
      <c r="W64" s="19">
        <f t="shared" si="13"/>
        <v>158148.86815714158</v>
      </c>
      <c r="X64" s="19">
        <f t="shared" si="13"/>
        <v>158148.86815714158</v>
      </c>
      <c r="Y64" s="19">
        <f t="shared" si="13"/>
        <v>158148.86815714158</v>
      </c>
    </row>
    <row r="65" spans="1:25" x14ac:dyDescent="0.35">
      <c r="A65" s="96">
        <v>2022</v>
      </c>
      <c r="B65" s="140">
        <v>197892.54597090581</v>
      </c>
      <c r="C65" s="187">
        <v>113344.8276159463</v>
      </c>
      <c r="D65" s="140">
        <v>281520.01965660555</v>
      </c>
      <c r="E65" s="140">
        <v>282354.10663363623</v>
      </c>
      <c r="F65" s="140">
        <v>210488.99959886947</v>
      </c>
      <c r="G65" s="140">
        <v>178921.77437472489</v>
      </c>
      <c r="H65" s="140">
        <v>0</v>
      </c>
      <c r="I65" s="187">
        <v>1052.7672730256324</v>
      </c>
      <c r="J65" s="140">
        <v>0</v>
      </c>
      <c r="K65" s="140">
        <v>0</v>
      </c>
      <c r="L65" s="140">
        <v>5529.907594166335</v>
      </c>
      <c r="M65" s="140">
        <v>5531.9370018306745</v>
      </c>
      <c r="N65" s="140">
        <v>10348.740548606942</v>
      </c>
      <c r="O65" s="187">
        <v>1046.2826761851127</v>
      </c>
      <c r="P65" s="140">
        <v>15403.959319925994</v>
      </c>
      <c r="Q65" s="140">
        <v>15613.812358076468</v>
      </c>
      <c r="R65" s="140">
        <v>21097.877946010234</v>
      </c>
      <c r="S65" s="140">
        <v>21104.300352833969</v>
      </c>
      <c r="T65" s="19">
        <f t="shared" si="13"/>
        <v>208241.28651951274</v>
      </c>
      <c r="U65" s="19">
        <f t="shared" si="13"/>
        <v>115443.87756515705</v>
      </c>
      <c r="V65" s="19">
        <f t="shared" si="13"/>
        <v>296923.97897653154</v>
      </c>
      <c r="W65" s="19">
        <f t="shared" si="13"/>
        <v>297967.91899171268</v>
      </c>
      <c r="X65" s="19">
        <f t="shared" si="13"/>
        <v>237116.78513904606</v>
      </c>
      <c r="Y65" s="19">
        <f t="shared" si="13"/>
        <v>205558.01172938952</v>
      </c>
    </row>
    <row r="66" spans="1:25" x14ac:dyDescent="0.35">
      <c r="A66" s="96">
        <v>2023</v>
      </c>
      <c r="B66" s="140">
        <v>243988.36252468411</v>
      </c>
      <c r="C66" s="187">
        <v>173721.10602138884</v>
      </c>
      <c r="D66" s="140">
        <v>538342.23949464876</v>
      </c>
      <c r="E66" s="140">
        <v>546485.18556961289</v>
      </c>
      <c r="F66" s="140">
        <v>354446.63754333043</v>
      </c>
      <c r="G66" s="140">
        <v>270466.99963866069</v>
      </c>
      <c r="H66" s="140">
        <v>1709.1929967176752</v>
      </c>
      <c r="I66" s="187">
        <v>3411.3208923561233</v>
      </c>
      <c r="J66" s="140">
        <v>5194.4156472704335</v>
      </c>
      <c r="K66" s="140">
        <v>5335.9460009095783</v>
      </c>
      <c r="L66" s="140">
        <v>12137.651779444463</v>
      </c>
      <c r="M66" s="140">
        <v>12142.65023421666</v>
      </c>
      <c r="N66" s="140">
        <v>11310.563016086317</v>
      </c>
      <c r="O66" s="187">
        <v>1923.6993488747419</v>
      </c>
      <c r="P66" s="140">
        <v>21468.36021269402</v>
      </c>
      <c r="Q66" s="140">
        <v>22053.300814155467</v>
      </c>
      <c r="R66" s="140">
        <v>38347.105624385935</v>
      </c>
      <c r="S66" s="140">
        <v>38360.689376315582</v>
      </c>
      <c r="T66" s="19">
        <f t="shared" si="13"/>
        <v>257008.1185374881</v>
      </c>
      <c r="U66" s="19">
        <f t="shared" si="13"/>
        <v>179056.12626261971</v>
      </c>
      <c r="V66" s="19">
        <f t="shared" si="13"/>
        <v>565005.01535461319</v>
      </c>
      <c r="W66" s="19">
        <f t="shared" si="13"/>
        <v>573874.43238467793</v>
      </c>
      <c r="X66" s="19">
        <f t="shared" si="13"/>
        <v>404931.39494716085</v>
      </c>
      <c r="Y66" s="19">
        <f t="shared" si="13"/>
        <v>320970.33924919291</v>
      </c>
    </row>
    <row r="67" spans="1:25" x14ac:dyDescent="0.35">
      <c r="A67" s="96">
        <v>2024</v>
      </c>
      <c r="B67" s="140">
        <v>299593.39065758465</v>
      </c>
      <c r="C67" s="187">
        <v>245706.90058640891</v>
      </c>
      <c r="D67" s="140">
        <v>833283.70327779476</v>
      </c>
      <c r="E67" s="140">
        <v>855515.5005057411</v>
      </c>
      <c r="F67" s="140">
        <v>548149.1780318839</v>
      </c>
      <c r="G67" s="140">
        <v>407639.84877998062</v>
      </c>
      <c r="H67" s="140">
        <v>5167.8891771279859</v>
      </c>
      <c r="I67" s="187">
        <v>7298.6695257107649</v>
      </c>
      <c r="J67" s="140">
        <v>17380.433402956103</v>
      </c>
      <c r="K67" s="140">
        <v>18090.770922985306</v>
      </c>
      <c r="L67" s="140">
        <v>19710.744297594018</v>
      </c>
      <c r="M67" s="140">
        <v>19719.646540046808</v>
      </c>
      <c r="N67" s="140">
        <v>13288.409137397917</v>
      </c>
      <c r="O67" s="187">
        <v>7652.6624983776301</v>
      </c>
      <c r="P67" s="140">
        <v>28752.353567316677</v>
      </c>
      <c r="Q67" s="140">
        <v>29927.460945509945</v>
      </c>
      <c r="R67" s="140">
        <v>58354.772750585937</v>
      </c>
      <c r="S67" s="140">
        <v>58376.364814030188</v>
      </c>
      <c r="T67" s="19">
        <f t="shared" si="13"/>
        <v>318049.68897211051</v>
      </c>
      <c r="U67" s="19">
        <f t="shared" si="13"/>
        <v>260658.23261049733</v>
      </c>
      <c r="V67" s="19">
        <f t="shared" si="13"/>
        <v>879416.49024806754</v>
      </c>
      <c r="W67" s="19">
        <f t="shared" si="13"/>
        <v>903533.73237423634</v>
      </c>
      <c r="X67" s="19">
        <f t="shared" si="13"/>
        <v>626214.69508006389</v>
      </c>
      <c r="Y67" s="19">
        <f t="shared" si="13"/>
        <v>485735.86013405758</v>
      </c>
    </row>
    <row r="68" spans="1:25" x14ac:dyDescent="0.35">
      <c r="A68" s="96">
        <v>2025</v>
      </c>
      <c r="B68" s="140">
        <v>358420.09166345344</v>
      </c>
      <c r="C68" s="187">
        <v>318391.09336349816</v>
      </c>
      <c r="D68" s="140">
        <v>1077928.9427640557</v>
      </c>
      <c r="E68" s="140">
        <v>1119893.9795428307</v>
      </c>
      <c r="F68" s="140">
        <v>778386.88646090892</v>
      </c>
      <c r="G68" s="140">
        <v>580902.04957884492</v>
      </c>
      <c r="H68" s="140">
        <v>10713.812783046036</v>
      </c>
      <c r="I68" s="187">
        <v>13047.936505845464</v>
      </c>
      <c r="J68" s="140">
        <v>36904.640953000504</v>
      </c>
      <c r="K68" s="140">
        <v>38915.695608493254</v>
      </c>
      <c r="L68" s="140">
        <v>28226.830185333805</v>
      </c>
      <c r="M68" s="140">
        <v>28240.526165360592</v>
      </c>
      <c r="N68" s="140">
        <v>17574.834810384917</v>
      </c>
      <c r="O68" s="187">
        <v>20444.03566818127</v>
      </c>
      <c r="P68" s="140">
        <v>40756.218533046689</v>
      </c>
      <c r="Q68" s="140">
        <v>42977.158255114344</v>
      </c>
      <c r="R68" s="140">
        <v>81098.584570137435</v>
      </c>
      <c r="S68" s="140">
        <v>81129.073903154538</v>
      </c>
      <c r="T68" s="19">
        <f t="shared" si="13"/>
        <v>386708.73925688438</v>
      </c>
      <c r="U68" s="19">
        <f t="shared" si="13"/>
        <v>351883.06553752488</v>
      </c>
      <c r="V68" s="19">
        <f t="shared" si="13"/>
        <v>1155589.8022501029</v>
      </c>
      <c r="W68" s="19">
        <f t="shared" si="13"/>
        <v>1201786.8334064384</v>
      </c>
      <c r="X68" s="19">
        <f t="shared" si="13"/>
        <v>887712.30121638021</v>
      </c>
      <c r="Y68" s="19">
        <f t="shared" si="13"/>
        <v>690271.64964736009</v>
      </c>
    </row>
    <row r="69" spans="1:25" x14ac:dyDescent="0.35">
      <c r="A69" s="96">
        <v>2026</v>
      </c>
      <c r="B69" s="140">
        <v>425181.3918830615</v>
      </c>
      <c r="C69" s="187">
        <v>397881.48297015822</v>
      </c>
      <c r="D69" s="140">
        <v>1287009.7803303869</v>
      </c>
      <c r="E69" s="140">
        <v>1354187.3984838643</v>
      </c>
      <c r="F69" s="140">
        <v>1016732.4079588801</v>
      </c>
      <c r="G69" s="140">
        <v>769425.13841262448</v>
      </c>
      <c r="H69" s="140">
        <v>17495.786540247133</v>
      </c>
      <c r="I69" s="187">
        <v>20956.912960281585</v>
      </c>
      <c r="J69" s="140">
        <v>62526.445040364997</v>
      </c>
      <c r="K69" s="140">
        <v>66785.533299412738</v>
      </c>
      <c r="L69" s="140">
        <v>37655.354307800735</v>
      </c>
      <c r="M69" s="140">
        <v>37674.677246948966</v>
      </c>
      <c r="N69" s="140">
        <v>25520.865161497335</v>
      </c>
      <c r="O69" s="187">
        <v>44556.026576619915</v>
      </c>
      <c r="P69" s="140">
        <v>62887.700671353632</v>
      </c>
      <c r="Q69" s="140">
        <v>67171.396432322625</v>
      </c>
      <c r="R69" s="140">
        <v>106510.83412690779</v>
      </c>
      <c r="S69" s="140">
        <v>106551.10485475254</v>
      </c>
      <c r="T69" s="19">
        <f t="shared" si="13"/>
        <v>468198.04358480597</v>
      </c>
      <c r="U69" s="19">
        <f t="shared" si="13"/>
        <v>463394.42250705976</v>
      </c>
      <c r="V69" s="19">
        <f t="shared" si="13"/>
        <v>1412423.9260421055</v>
      </c>
      <c r="W69" s="19">
        <f t="shared" si="13"/>
        <v>1488144.3282155998</v>
      </c>
      <c r="X69" s="19">
        <f t="shared" si="13"/>
        <v>1160898.5963935887</v>
      </c>
      <c r="Y69" s="19">
        <f t="shared" si="13"/>
        <v>913650.92051432596</v>
      </c>
    </row>
    <row r="70" spans="1:25" x14ac:dyDescent="0.35">
      <c r="A70" s="96">
        <v>2027</v>
      </c>
      <c r="B70" s="140">
        <v>507627.60593811679</v>
      </c>
      <c r="C70" s="187">
        <v>496132.93607267534</v>
      </c>
      <c r="D70" s="140">
        <v>1511405.8120961518</v>
      </c>
      <c r="E70" s="140">
        <v>1610601.5630357598</v>
      </c>
      <c r="F70" s="140">
        <v>1278269.6213262982</v>
      </c>
      <c r="G70" s="140">
        <v>983406.2035190193</v>
      </c>
      <c r="H70" s="140">
        <v>25559.718723178114</v>
      </c>
      <c r="I70" s="187">
        <v>31081.787968363489</v>
      </c>
      <c r="J70" s="140">
        <v>92707.683534367607</v>
      </c>
      <c r="K70" s="140">
        <v>100285.6011251055</v>
      </c>
      <c r="L70" s="140">
        <v>47971.564089175292</v>
      </c>
      <c r="M70" s="140">
        <v>47997.302119216176</v>
      </c>
      <c r="N70" s="140">
        <v>37328.289343249475</v>
      </c>
      <c r="O70" s="187">
        <v>79470.206357220333</v>
      </c>
      <c r="P70" s="140">
        <v>95252.961845440572</v>
      </c>
      <c r="Q70" s="140">
        <v>103038.93025301993</v>
      </c>
      <c r="R70" s="140">
        <v>134530.33933770904</v>
      </c>
      <c r="S70" s="140">
        <v>134581.27165131431</v>
      </c>
      <c r="T70" s="19">
        <f t="shared" si="13"/>
        <v>570515.61400454445</v>
      </c>
      <c r="U70" s="19">
        <f t="shared" si="13"/>
        <v>606684.93039825908</v>
      </c>
      <c r="V70" s="19">
        <f t="shared" si="13"/>
        <v>1699366.45747596</v>
      </c>
      <c r="W70" s="19">
        <f t="shared" si="13"/>
        <v>1813926.0944138854</v>
      </c>
      <c r="X70" s="19">
        <f t="shared" si="13"/>
        <v>1460771.5247531827</v>
      </c>
      <c r="Y70" s="19">
        <f t="shared" si="13"/>
        <v>1165984.7772895498</v>
      </c>
    </row>
    <row r="71" spans="1:25" x14ac:dyDescent="0.35">
      <c r="A71" s="96">
        <v>2028</v>
      </c>
      <c r="B71" s="140">
        <v>611505.90010351688</v>
      </c>
      <c r="C71" s="187">
        <v>617233.45037848246</v>
      </c>
      <c r="D71" s="140">
        <v>1781349.2890248983</v>
      </c>
      <c r="E71" s="140">
        <v>1922509.9281730421</v>
      </c>
      <c r="F71" s="140">
        <v>1566021.3719418964</v>
      </c>
      <c r="G71" s="140">
        <v>1225019.318950115</v>
      </c>
      <c r="H71" s="140">
        <v>34695.149694530315</v>
      </c>
      <c r="I71" s="187">
        <v>43629.992186854412</v>
      </c>
      <c r="J71" s="140">
        <v>127345.10913274698</v>
      </c>
      <c r="K71" s="140">
        <v>139489.1496635339</v>
      </c>
      <c r="L71" s="140">
        <v>59116.415072969059</v>
      </c>
      <c r="M71" s="140">
        <v>59149.287705696777</v>
      </c>
      <c r="N71" s="140">
        <v>51552.555346058216</v>
      </c>
      <c r="O71" s="187">
        <v>123498.24936569725</v>
      </c>
      <c r="P71" s="140">
        <v>135379.62331036598</v>
      </c>
      <c r="Q71" s="140">
        <v>148289.86103932309</v>
      </c>
      <c r="R71" s="140">
        <v>164990.05102492697</v>
      </c>
      <c r="S71" s="140">
        <v>165052.46635894963</v>
      </c>
      <c r="T71" s="19">
        <f t="shared" si="13"/>
        <v>697753.60514410539</v>
      </c>
      <c r="U71" s="19">
        <f t="shared" si="13"/>
        <v>784361.69193103409</v>
      </c>
      <c r="V71" s="19">
        <f t="shared" si="13"/>
        <v>2044074.0214680112</v>
      </c>
      <c r="W71" s="19">
        <f t="shared" si="13"/>
        <v>2210288.9388758992</v>
      </c>
      <c r="X71" s="19">
        <f t="shared" si="13"/>
        <v>1790127.8380397926</v>
      </c>
      <c r="Y71" s="19">
        <f t="shared" si="13"/>
        <v>1449221.0730147616</v>
      </c>
    </row>
    <row r="72" spans="1:25" x14ac:dyDescent="0.35">
      <c r="A72" s="96">
        <v>2029</v>
      </c>
      <c r="B72" s="140">
        <v>743407.10991530283</v>
      </c>
      <c r="C72" s="187">
        <v>769314.15921173827</v>
      </c>
      <c r="D72" s="140">
        <v>2123500.7816349999</v>
      </c>
      <c r="E72" s="140">
        <v>2320623.7168183913</v>
      </c>
      <c r="F72" s="140">
        <v>1889247.3146498217</v>
      </c>
      <c r="G72" s="140">
        <v>1501003.2785429154</v>
      </c>
      <c r="H72" s="140">
        <v>44850.23586133249</v>
      </c>
      <c r="I72" s="187">
        <v>58695.74755841498</v>
      </c>
      <c r="J72" s="140">
        <v>166699.73726599905</v>
      </c>
      <c r="K72" s="140">
        <v>184867.76567874805</v>
      </c>
      <c r="L72" s="140">
        <v>71039.433400047972</v>
      </c>
      <c r="M72" s="140">
        <v>71080.107926542405</v>
      </c>
      <c r="N72" s="140">
        <v>67685.700593345158</v>
      </c>
      <c r="O72" s="187">
        <v>179568.22804619913</v>
      </c>
      <c r="P72" s="140">
        <v>182568.50311795686</v>
      </c>
      <c r="Q72" s="140">
        <v>202466.0134939173</v>
      </c>
      <c r="R72" s="140">
        <v>197747.97775882258</v>
      </c>
      <c r="S72" s="140">
        <v>197822.64773420698</v>
      </c>
      <c r="T72" s="19">
        <f t="shared" si="13"/>
        <v>855943.04636998056</v>
      </c>
      <c r="U72" s="19">
        <f t="shared" si="13"/>
        <v>1007578.1348163523</v>
      </c>
      <c r="V72" s="19">
        <f t="shared" si="13"/>
        <v>2472769.0220189556</v>
      </c>
      <c r="W72" s="19">
        <f t="shared" si="13"/>
        <v>2707957.4959910568</v>
      </c>
      <c r="X72" s="19">
        <f t="shared" si="13"/>
        <v>2158034.7258086922</v>
      </c>
      <c r="Y72" s="19">
        <f t="shared" si="13"/>
        <v>1769906.0342036649</v>
      </c>
    </row>
    <row r="73" spans="1:25" x14ac:dyDescent="0.35">
      <c r="A73" s="96">
        <v>2030</v>
      </c>
      <c r="B73" s="140">
        <v>910200.07688852912</v>
      </c>
      <c r="C73" s="187">
        <v>961390.18511943519</v>
      </c>
      <c r="D73" s="140">
        <v>2552119.4509635698</v>
      </c>
      <c r="E73" s="140">
        <v>2842553.7031339635</v>
      </c>
      <c r="F73" s="140">
        <v>2246858.2797452454</v>
      </c>
      <c r="G73" s="140">
        <v>1809987.9177515702</v>
      </c>
      <c r="H73" s="140">
        <v>56005.788549744895</v>
      </c>
      <c r="I73" s="187">
        <v>74900.202924510333</v>
      </c>
      <c r="J73" s="140">
        <v>210692.96095458796</v>
      </c>
      <c r="K73" s="140">
        <v>239396.33328565161</v>
      </c>
      <c r="L73" s="140">
        <v>83668.532840633969</v>
      </c>
      <c r="M73" s="140">
        <v>83717.603505468622</v>
      </c>
      <c r="N73" s="140">
        <v>85929.590466412148</v>
      </c>
      <c r="O73" s="187">
        <v>245388.46179168715</v>
      </c>
      <c r="P73" s="140">
        <v>238474.87845655801</v>
      </c>
      <c r="Q73" s="140">
        <v>270963.06978924852</v>
      </c>
      <c r="R73" s="140">
        <v>232594.10124785404</v>
      </c>
      <c r="S73" s="140">
        <v>232681.71896107536</v>
      </c>
      <c r="T73" s="19">
        <f t="shared" si="13"/>
        <v>1052135.4559046861</v>
      </c>
      <c r="U73" s="19">
        <f t="shared" si="13"/>
        <v>1281678.8498356326</v>
      </c>
      <c r="V73" s="19">
        <f t="shared" si="13"/>
        <v>3001287.2903747158</v>
      </c>
      <c r="W73" s="19">
        <f t="shared" si="13"/>
        <v>3352913.1062088637</v>
      </c>
      <c r="X73" s="19">
        <f t="shared" si="13"/>
        <v>2563120.9138337332</v>
      </c>
      <c r="Y73" s="19">
        <f t="shared" si="13"/>
        <v>2126387.2402181141</v>
      </c>
    </row>
    <row r="74" spans="1:25" x14ac:dyDescent="0.35">
      <c r="A74" s="96">
        <v>2031</v>
      </c>
      <c r="B74" s="140">
        <v>1121381.8185041386</v>
      </c>
      <c r="C74" s="187">
        <v>1204106.903405695</v>
      </c>
      <c r="D74" s="140">
        <v>3085807.494619919</v>
      </c>
      <c r="E74" s="140">
        <v>0</v>
      </c>
      <c r="F74" s="140">
        <v>0</v>
      </c>
      <c r="G74" s="140">
        <v>0</v>
      </c>
      <c r="H74" s="140">
        <v>69637.229543491281</v>
      </c>
      <c r="I74" s="187">
        <v>91991.573983183334</v>
      </c>
      <c r="J74" s="140">
        <v>259398.42684183747</v>
      </c>
      <c r="K74" s="140">
        <v>0</v>
      </c>
      <c r="L74" s="140">
        <v>0</v>
      </c>
      <c r="M74" s="140">
        <v>0</v>
      </c>
      <c r="N74" s="140">
        <v>108728.06679795543</v>
      </c>
      <c r="O74" s="187">
        <v>321213.64715126914</v>
      </c>
      <c r="P74" s="140">
        <v>304073.08949089801</v>
      </c>
      <c r="Q74" s="140">
        <v>0</v>
      </c>
      <c r="R74" s="140">
        <v>0</v>
      </c>
      <c r="S74" s="140">
        <v>0</v>
      </c>
      <c r="T74" s="19">
        <f t="shared" si="13"/>
        <v>1299747.1148455853</v>
      </c>
      <c r="U74" s="19">
        <f t="shared" si="13"/>
        <v>1617312.1245401474</v>
      </c>
      <c r="V74" s="19">
        <f t="shared" si="13"/>
        <v>3649279.0109526543</v>
      </c>
      <c r="W74" s="19">
        <f t="shared" si="13"/>
        <v>0</v>
      </c>
      <c r="X74" s="19">
        <f t="shared" si="13"/>
        <v>0</v>
      </c>
      <c r="Y74" s="19">
        <f t="shared" si="13"/>
        <v>0</v>
      </c>
    </row>
    <row r="75" spans="1:25" x14ac:dyDescent="0.35">
      <c r="A75" s="96">
        <v>2032</v>
      </c>
      <c r="B75" s="140">
        <v>1387699.2841552505</v>
      </c>
      <c r="C75" s="187">
        <v>1508500.812706376</v>
      </c>
      <c r="D75" s="140">
        <v>3698819.1399485199</v>
      </c>
      <c r="E75" s="140">
        <v>0</v>
      </c>
      <c r="F75" s="140">
        <v>0</v>
      </c>
      <c r="G75" s="140">
        <v>0</v>
      </c>
      <c r="H75" s="140">
        <v>85433.714262727997</v>
      </c>
      <c r="I75" s="187">
        <v>114113.47992417264</v>
      </c>
      <c r="J75" s="140">
        <v>304970.12010138261</v>
      </c>
      <c r="K75" s="140">
        <v>0</v>
      </c>
      <c r="L75" s="140">
        <v>0</v>
      </c>
      <c r="M75" s="140">
        <v>0</v>
      </c>
      <c r="N75" s="140">
        <v>133391.90332599232</v>
      </c>
      <c r="O75" s="187">
        <v>398458.30969548761</v>
      </c>
      <c r="P75" s="140">
        <v>357493.32696678105</v>
      </c>
      <c r="Q75" s="140">
        <v>0</v>
      </c>
      <c r="R75" s="140">
        <v>0</v>
      </c>
      <c r="S75" s="140">
        <v>0</v>
      </c>
      <c r="T75" s="19">
        <f t="shared" si="13"/>
        <v>1606524.901743971</v>
      </c>
      <c r="U75" s="19">
        <f t="shared" si="13"/>
        <v>2021072.6023260362</v>
      </c>
      <c r="V75" s="19">
        <f t="shared" si="13"/>
        <v>4361282.5870166831</v>
      </c>
      <c r="W75" s="19">
        <f t="shared" si="13"/>
        <v>0</v>
      </c>
      <c r="X75" s="19">
        <f t="shared" si="13"/>
        <v>0</v>
      </c>
      <c r="Y75" s="19">
        <f t="shared" si="13"/>
        <v>0</v>
      </c>
    </row>
    <row r="76" spans="1:25" x14ac:dyDescent="0.35">
      <c r="A76" s="96">
        <v>2033</v>
      </c>
      <c r="B76" s="140">
        <v>1720312.057212342</v>
      </c>
      <c r="C76" s="187">
        <v>1888741.9859059167</v>
      </c>
      <c r="D76" s="140">
        <v>4346062.9771667067</v>
      </c>
      <c r="E76" s="140">
        <v>0</v>
      </c>
      <c r="F76" s="140">
        <v>0</v>
      </c>
      <c r="G76" s="140">
        <v>0</v>
      </c>
      <c r="H76" s="140">
        <v>104902.28009696049</v>
      </c>
      <c r="I76" s="187">
        <v>141388.54923574696</v>
      </c>
      <c r="J76" s="140">
        <v>351589.76904639468</v>
      </c>
      <c r="K76" s="140">
        <v>0</v>
      </c>
      <c r="L76" s="140">
        <v>0</v>
      </c>
      <c r="M76" s="140">
        <v>0</v>
      </c>
      <c r="N76" s="140">
        <v>163789.14256657418</v>
      </c>
      <c r="O76" s="187">
        <v>493696.64632266661</v>
      </c>
      <c r="P76" s="140">
        <v>412142.00336116133</v>
      </c>
      <c r="Q76" s="140">
        <v>0</v>
      </c>
      <c r="R76" s="140">
        <v>0</v>
      </c>
      <c r="S76" s="140">
        <v>0</v>
      </c>
      <c r="T76" s="19">
        <f t="shared" si="13"/>
        <v>1989003.4798758768</v>
      </c>
      <c r="U76" s="19">
        <f t="shared" si="13"/>
        <v>2523827.1814643303</v>
      </c>
      <c r="V76" s="19">
        <f t="shared" si="13"/>
        <v>5109794.7495742626</v>
      </c>
      <c r="W76" s="19">
        <f t="shared" si="13"/>
        <v>0</v>
      </c>
      <c r="X76" s="19">
        <f t="shared" si="13"/>
        <v>0</v>
      </c>
      <c r="Y76" s="19">
        <f t="shared" si="13"/>
        <v>0</v>
      </c>
    </row>
    <row r="77" spans="1:25" x14ac:dyDescent="0.35">
      <c r="A77" s="96">
        <v>2034</v>
      </c>
      <c r="B77" s="140">
        <v>2131426.1826380021</v>
      </c>
      <c r="C77" s="187">
        <v>2359838.6250310568</v>
      </c>
      <c r="D77" s="140">
        <v>5020199.2953120656</v>
      </c>
      <c r="E77" s="140">
        <v>0</v>
      </c>
      <c r="F77" s="140">
        <v>0</v>
      </c>
      <c r="G77" s="140">
        <v>0</v>
      </c>
      <c r="H77" s="140">
        <v>128584.67130566121</v>
      </c>
      <c r="I77" s="187">
        <v>174680.99517537208</v>
      </c>
      <c r="J77" s="140">
        <v>399302.99016325281</v>
      </c>
      <c r="K77" s="140">
        <v>0</v>
      </c>
      <c r="L77" s="140">
        <v>0</v>
      </c>
      <c r="M77" s="140">
        <v>0</v>
      </c>
      <c r="N77" s="140">
        <v>200765.63675158154</v>
      </c>
      <c r="O77" s="187">
        <v>609946.29310888611</v>
      </c>
      <c r="P77" s="140">
        <v>468072.59141908947</v>
      </c>
      <c r="Q77" s="140">
        <v>0</v>
      </c>
      <c r="R77" s="140">
        <v>0</v>
      </c>
      <c r="S77" s="140">
        <v>0</v>
      </c>
      <c r="T77" s="19">
        <f t="shared" si="13"/>
        <v>2460776.4906952446</v>
      </c>
      <c r="U77" s="19">
        <f t="shared" si="13"/>
        <v>3144465.9133153148</v>
      </c>
      <c r="V77" s="19">
        <f t="shared" si="13"/>
        <v>5887574.8768944079</v>
      </c>
      <c r="W77" s="19">
        <f t="shared" si="13"/>
        <v>0</v>
      </c>
      <c r="X77" s="19">
        <f t="shared" si="13"/>
        <v>0</v>
      </c>
      <c r="Y77" s="19">
        <f t="shared" si="13"/>
        <v>0</v>
      </c>
    </row>
    <row r="78" spans="1:25" x14ac:dyDescent="0.35">
      <c r="A78" s="96">
        <v>2035</v>
      </c>
      <c r="B78" s="140">
        <v>2620618.7239372851</v>
      </c>
      <c r="C78" s="187">
        <v>2895114.9858418279</v>
      </c>
      <c r="D78" s="140">
        <v>5722776.7214388736</v>
      </c>
      <c r="E78" s="140">
        <v>0</v>
      </c>
      <c r="F78" s="140">
        <v>0</v>
      </c>
      <c r="G78" s="140">
        <v>0</v>
      </c>
      <c r="H78" s="140">
        <v>155648.51538163863</v>
      </c>
      <c r="I78" s="187">
        <v>209242.5867198687</v>
      </c>
      <c r="J78" s="140">
        <v>448202.23839672166</v>
      </c>
      <c r="K78" s="140">
        <v>0</v>
      </c>
      <c r="L78" s="140">
        <v>0</v>
      </c>
      <c r="M78" s="140">
        <v>0</v>
      </c>
      <c r="N78" s="140">
        <v>243021.76132449482</v>
      </c>
      <c r="O78" s="187">
        <v>730627.50760130992</v>
      </c>
      <c r="P78" s="140">
        <v>525393.46905571141</v>
      </c>
      <c r="Q78" s="140">
        <v>0</v>
      </c>
      <c r="R78" s="140">
        <v>0</v>
      </c>
      <c r="S78" s="140">
        <v>0</v>
      </c>
      <c r="T78" s="19">
        <f t="shared" si="13"/>
        <v>3019289.0006434182</v>
      </c>
      <c r="U78" s="19">
        <f t="shared" si="13"/>
        <v>3834985.0801630067</v>
      </c>
      <c r="V78" s="19">
        <f t="shared" si="13"/>
        <v>6696372.4288913067</v>
      </c>
      <c r="W78" s="19">
        <f t="shared" si="13"/>
        <v>0</v>
      </c>
      <c r="X78" s="19">
        <f t="shared" si="13"/>
        <v>0</v>
      </c>
      <c r="Y78" s="19">
        <f t="shared" si="13"/>
        <v>0</v>
      </c>
    </row>
    <row r="79" spans="1:25" x14ac:dyDescent="0.35">
      <c r="A79" s="96">
        <v>2036</v>
      </c>
      <c r="B79" s="140">
        <v>3122183.4444190259</v>
      </c>
      <c r="C79" s="187">
        <v>3418797.1328614512</v>
      </c>
      <c r="D79" s="140">
        <v>6388172.9699607454</v>
      </c>
      <c r="E79" s="140">
        <v>0</v>
      </c>
      <c r="F79" s="140">
        <v>0</v>
      </c>
      <c r="G79" s="140">
        <v>0</v>
      </c>
      <c r="H79" s="140">
        <v>182984.54929259027</v>
      </c>
      <c r="I79" s="187">
        <v>244126.91585264786</v>
      </c>
      <c r="J79" s="140">
        <v>497843.75579785754</v>
      </c>
      <c r="K79" s="140">
        <v>0</v>
      </c>
      <c r="L79" s="140">
        <v>0</v>
      </c>
      <c r="M79" s="140">
        <v>0</v>
      </c>
      <c r="N79" s="140">
        <v>285702.8694120138</v>
      </c>
      <c r="O79" s="187">
        <v>852435.64832530345</v>
      </c>
      <c r="P79" s="140">
        <v>583584.45250521088</v>
      </c>
      <c r="Q79" s="140">
        <v>0</v>
      </c>
      <c r="R79" s="140">
        <v>0</v>
      </c>
      <c r="S79" s="140">
        <v>0</v>
      </c>
      <c r="T79" s="19">
        <f t="shared" si="13"/>
        <v>3590870.8631236302</v>
      </c>
      <c r="U79" s="19">
        <f t="shared" si="13"/>
        <v>4515359.6970394021</v>
      </c>
      <c r="V79" s="19">
        <f t="shared" si="13"/>
        <v>7469601.1782638133</v>
      </c>
      <c r="W79" s="19">
        <f t="shared" si="13"/>
        <v>0</v>
      </c>
      <c r="X79" s="19">
        <f t="shared" si="13"/>
        <v>0</v>
      </c>
      <c r="Y79" s="19">
        <f t="shared" si="13"/>
        <v>0</v>
      </c>
    </row>
    <row r="80" spans="1:25" x14ac:dyDescent="0.35">
      <c r="A80" s="96">
        <v>2037</v>
      </c>
      <c r="B80" s="140">
        <v>3628822.1048977114</v>
      </c>
      <c r="C80" s="187">
        <v>3948146.8369239783</v>
      </c>
      <c r="D80" s="140">
        <v>7063597.70822482</v>
      </c>
      <c r="E80" s="140">
        <v>0</v>
      </c>
      <c r="F80" s="140">
        <v>0</v>
      </c>
      <c r="G80" s="140">
        <v>0</v>
      </c>
      <c r="H80" s="140">
        <v>210598.7146042432</v>
      </c>
      <c r="I80" s="187">
        <v>279440.08680284966</v>
      </c>
      <c r="J80" s="140">
        <v>548228.15676483023</v>
      </c>
      <c r="K80" s="140">
        <v>0</v>
      </c>
      <c r="L80" s="140">
        <v>0</v>
      </c>
      <c r="M80" s="140">
        <v>0</v>
      </c>
      <c r="N80" s="140">
        <v>328818.23787594796</v>
      </c>
      <c r="O80" s="187">
        <v>975741.20710902603</v>
      </c>
      <c r="P80" s="140">
        <v>642646.26197993429</v>
      </c>
      <c r="Q80" s="140">
        <v>0</v>
      </c>
      <c r="R80" s="140">
        <v>0</v>
      </c>
      <c r="S80" s="140">
        <v>0</v>
      </c>
      <c r="T80" s="19">
        <f t="shared" si="13"/>
        <v>4168239.0573779028</v>
      </c>
      <c r="U80" s="19">
        <f t="shared" si="13"/>
        <v>5203328.1308358535</v>
      </c>
      <c r="V80" s="19">
        <f t="shared" si="13"/>
        <v>8254472.1269695852</v>
      </c>
      <c r="W80" s="19">
        <f t="shared" si="13"/>
        <v>0</v>
      </c>
      <c r="X80" s="19">
        <f t="shared" si="13"/>
        <v>0</v>
      </c>
      <c r="Y80" s="19">
        <f t="shared" si="13"/>
        <v>0</v>
      </c>
    </row>
    <row r="81" spans="1:25" x14ac:dyDescent="0.35">
      <c r="A81" s="96">
        <v>2038</v>
      </c>
      <c r="B81" s="140">
        <v>4140805.1192255835</v>
      </c>
      <c r="C81" s="187">
        <v>4483469.7935849819</v>
      </c>
      <c r="D81" s="140">
        <v>7749313.1786061693</v>
      </c>
      <c r="E81" s="140">
        <v>0</v>
      </c>
      <c r="F81" s="140">
        <v>0</v>
      </c>
      <c r="G81" s="140">
        <v>0</v>
      </c>
      <c r="H81" s="140">
        <v>238514.39892807778</v>
      </c>
      <c r="I81" s="187">
        <v>315116.53388064553</v>
      </c>
      <c r="J81" s="140">
        <v>599393.66325371538</v>
      </c>
      <c r="K81" s="140">
        <v>0</v>
      </c>
      <c r="L81" s="140">
        <v>0</v>
      </c>
      <c r="M81" s="140">
        <v>0</v>
      </c>
      <c r="N81" s="140">
        <v>372404.38295624446</v>
      </c>
      <c r="O81" s="187">
        <v>1100315.243480585</v>
      </c>
      <c r="P81" s="140">
        <v>702623.7021782439</v>
      </c>
      <c r="Q81" s="140">
        <v>0</v>
      </c>
      <c r="R81" s="140">
        <v>0</v>
      </c>
      <c r="S81" s="140">
        <v>0</v>
      </c>
      <c r="T81" s="19">
        <f t="shared" si="13"/>
        <v>4751723.901109905</v>
      </c>
      <c r="U81" s="19">
        <f t="shared" si="13"/>
        <v>5898901.5709462129</v>
      </c>
      <c r="V81" s="19">
        <f t="shared" si="13"/>
        <v>9051330.5440381281</v>
      </c>
      <c r="W81" s="19">
        <f t="shared" si="13"/>
        <v>0</v>
      </c>
      <c r="X81" s="19">
        <f t="shared" si="13"/>
        <v>0</v>
      </c>
      <c r="Y81" s="19">
        <f t="shared" si="13"/>
        <v>0</v>
      </c>
    </row>
    <row r="82" spans="1:25" x14ac:dyDescent="0.35">
      <c r="A82" s="96">
        <v>2039</v>
      </c>
      <c r="B82" s="140">
        <v>4658110.1239180202</v>
      </c>
      <c r="C82" s="187">
        <v>5027198.7387446295</v>
      </c>
      <c r="D82" s="140">
        <v>8445215.7576067802</v>
      </c>
      <c r="E82" s="140">
        <v>0</v>
      </c>
      <c r="F82" s="140">
        <v>0</v>
      </c>
      <c r="G82" s="140">
        <v>0</v>
      </c>
      <c r="H82" s="140">
        <v>266705.78910156281</v>
      </c>
      <c r="I82" s="187">
        <v>351544.42988651927</v>
      </c>
      <c r="J82" s="140">
        <v>651286.70735652617</v>
      </c>
      <c r="K82" s="140">
        <v>0</v>
      </c>
      <c r="L82" s="140">
        <v>0</v>
      </c>
      <c r="M82" s="140">
        <v>0</v>
      </c>
      <c r="N82" s="140">
        <v>416421.00127957342</v>
      </c>
      <c r="O82" s="187">
        <v>1227513.1685452536</v>
      </c>
      <c r="P82" s="140">
        <v>763453.97950698878</v>
      </c>
      <c r="Q82" s="140">
        <v>0</v>
      </c>
      <c r="R82" s="140">
        <v>0</v>
      </c>
      <c r="S82" s="140">
        <v>0</v>
      </c>
      <c r="T82" s="19">
        <f t="shared" si="13"/>
        <v>5341236.9142991565</v>
      </c>
      <c r="U82" s="19">
        <f t="shared" si="13"/>
        <v>6606256.3371764021</v>
      </c>
      <c r="V82" s="19">
        <f t="shared" si="13"/>
        <v>9859956.4444702938</v>
      </c>
      <c r="W82" s="19">
        <f t="shared" si="13"/>
        <v>0</v>
      </c>
      <c r="X82" s="19">
        <f t="shared" si="13"/>
        <v>0</v>
      </c>
      <c r="Y82" s="19">
        <f t="shared" si="13"/>
        <v>0</v>
      </c>
    </row>
    <row r="83" spans="1:25" x14ac:dyDescent="0.35">
      <c r="A83" s="96">
        <v>2040</v>
      </c>
      <c r="B83" s="140">
        <v>5184705.2484770687</v>
      </c>
      <c r="C83" s="187">
        <v>5578847.0538143208</v>
      </c>
      <c r="D83" s="140">
        <v>9155015.828578718</v>
      </c>
      <c r="E83" s="140">
        <v>0</v>
      </c>
      <c r="F83" s="140">
        <v>0</v>
      </c>
      <c r="G83" s="140">
        <v>0</v>
      </c>
      <c r="H83" s="140">
        <v>295629.08294534578</v>
      </c>
      <c r="I83" s="187">
        <v>388271.07112830755</v>
      </c>
      <c r="J83" s="140">
        <v>704510.34011573147</v>
      </c>
      <c r="K83" s="140">
        <v>0</v>
      </c>
      <c r="L83" s="140">
        <v>0</v>
      </c>
      <c r="M83" s="140">
        <v>0</v>
      </c>
      <c r="N83" s="140">
        <v>461580.37717202876</v>
      </c>
      <c r="O83" s="187">
        <v>1355754.2440055737</v>
      </c>
      <c r="P83" s="140">
        <v>825844.00493643468</v>
      </c>
      <c r="Q83" s="140">
        <v>0</v>
      </c>
      <c r="R83" s="140">
        <v>0</v>
      </c>
      <c r="S83" s="140">
        <v>0</v>
      </c>
      <c r="T83" s="19">
        <f t="shared" si="13"/>
        <v>5941914.7085944433</v>
      </c>
      <c r="U83" s="19">
        <f t="shared" si="13"/>
        <v>7322872.3689482026</v>
      </c>
      <c r="V83" s="19">
        <f t="shared" si="13"/>
        <v>10685370.173630884</v>
      </c>
      <c r="W83" s="19">
        <f t="shared" si="13"/>
        <v>0</v>
      </c>
      <c r="X83" s="19">
        <f t="shared" si="13"/>
        <v>0</v>
      </c>
      <c r="Y83" s="19">
        <f t="shared" si="13"/>
        <v>0</v>
      </c>
    </row>
    <row r="84" spans="1:25" x14ac:dyDescent="0.35">
      <c r="A84" s="96">
        <v>2041</v>
      </c>
      <c r="B84" s="140">
        <v>5711910.5269464469</v>
      </c>
      <c r="C84" s="187">
        <v>6129956.0105861584</v>
      </c>
      <c r="D84" s="140">
        <v>9868661.9888287205</v>
      </c>
      <c r="E84" s="140">
        <v>0</v>
      </c>
      <c r="F84" s="140">
        <v>0</v>
      </c>
      <c r="G84" s="140">
        <v>0</v>
      </c>
      <c r="H84" s="140">
        <v>323886.65061680804</v>
      </c>
      <c r="I84" s="187">
        <v>424627.44238623529</v>
      </c>
      <c r="J84" s="140">
        <v>756972.9644994674</v>
      </c>
      <c r="K84" s="140">
        <v>0</v>
      </c>
      <c r="L84" s="140">
        <v>0</v>
      </c>
      <c r="M84" s="140">
        <v>0</v>
      </c>
      <c r="N84" s="140">
        <v>505700.32171134534</v>
      </c>
      <c r="O84" s="187">
        <v>1482702.4209231618</v>
      </c>
      <c r="P84" s="140">
        <v>887341.95800185471</v>
      </c>
      <c r="Q84" s="140">
        <v>0</v>
      </c>
      <c r="R84" s="140">
        <v>0</v>
      </c>
      <c r="S84" s="140">
        <v>0</v>
      </c>
      <c r="T84" s="19">
        <f t="shared" si="13"/>
        <v>6541497.4992746003</v>
      </c>
      <c r="U84" s="19">
        <f t="shared" si="13"/>
        <v>8037285.8738955557</v>
      </c>
      <c r="V84" s="19">
        <f t="shared" si="13"/>
        <v>11512976.911330042</v>
      </c>
      <c r="W84" s="19">
        <f t="shared" si="13"/>
        <v>0</v>
      </c>
      <c r="X84" s="19">
        <f t="shared" si="13"/>
        <v>0</v>
      </c>
      <c r="Y84" s="19">
        <f t="shared" si="13"/>
        <v>0</v>
      </c>
    </row>
    <row r="85" spans="1:25" x14ac:dyDescent="0.35">
      <c r="A85" s="96">
        <v>2042</v>
      </c>
      <c r="B85" s="140">
        <v>6243569.9996833317</v>
      </c>
      <c r="C85" s="187">
        <v>6664167.9054051358</v>
      </c>
      <c r="D85" s="140">
        <v>10500010.260689879</v>
      </c>
      <c r="E85" s="140">
        <v>0</v>
      </c>
      <c r="F85" s="140">
        <v>0</v>
      </c>
      <c r="G85" s="140">
        <v>0</v>
      </c>
      <c r="H85" s="140">
        <v>353293.04786636838</v>
      </c>
      <c r="I85" s="187">
        <v>459113.35033066833</v>
      </c>
      <c r="J85" s="140">
        <v>798008.82651310111</v>
      </c>
      <c r="K85" s="140">
        <v>0</v>
      </c>
      <c r="L85" s="140">
        <v>0</v>
      </c>
      <c r="M85" s="140">
        <v>0</v>
      </c>
      <c r="N85" s="140">
        <v>551613.99095691124</v>
      </c>
      <c r="O85" s="187">
        <v>1603119.3655030997</v>
      </c>
      <c r="P85" s="140">
        <v>935445.18474199192</v>
      </c>
      <c r="Q85" s="140">
        <v>0</v>
      </c>
      <c r="R85" s="140">
        <v>0</v>
      </c>
      <c r="S85" s="140">
        <v>0</v>
      </c>
      <c r="T85" s="19">
        <f t="shared" si="13"/>
        <v>7148477.0385066113</v>
      </c>
      <c r="U85" s="19">
        <f t="shared" si="13"/>
        <v>8726400.6212389041</v>
      </c>
      <c r="V85" s="19">
        <f t="shared" si="13"/>
        <v>12233464.271944972</v>
      </c>
      <c r="W85" s="19">
        <f t="shared" si="13"/>
        <v>0</v>
      </c>
      <c r="X85" s="19">
        <f t="shared" si="13"/>
        <v>0</v>
      </c>
      <c r="Y85" s="19">
        <f t="shared" si="13"/>
        <v>0</v>
      </c>
    </row>
    <row r="86" spans="1:25" x14ac:dyDescent="0.35">
      <c r="A86" s="96">
        <v>2043</v>
      </c>
      <c r="B86" s="140">
        <v>6783427.3659417275</v>
      </c>
      <c r="C86" s="187">
        <v>7179243.5363624617</v>
      </c>
      <c r="D86" s="140">
        <v>11009229.966078484</v>
      </c>
      <c r="E86" s="140">
        <v>0</v>
      </c>
      <c r="F86" s="140">
        <v>0</v>
      </c>
      <c r="G86" s="140">
        <v>0</v>
      </c>
      <c r="H86" s="140">
        <v>382439.76182166743</v>
      </c>
      <c r="I86" s="187">
        <v>492932.04588252329</v>
      </c>
      <c r="J86" s="140">
        <v>832385.02123511874</v>
      </c>
      <c r="K86" s="140">
        <v>0</v>
      </c>
      <c r="L86" s="140">
        <v>0</v>
      </c>
      <c r="M86" s="140">
        <v>0</v>
      </c>
      <c r="N86" s="140">
        <v>597122.20377134345</v>
      </c>
      <c r="O86" s="187">
        <v>1721206.556207061</v>
      </c>
      <c r="P86" s="140">
        <v>975741.7889324174</v>
      </c>
      <c r="Q86" s="140">
        <v>0</v>
      </c>
      <c r="R86" s="140">
        <v>0</v>
      </c>
      <c r="S86" s="140">
        <v>0</v>
      </c>
      <c r="T86" s="19">
        <f t="shared" si="13"/>
        <v>7762989.3315347387</v>
      </c>
      <c r="U86" s="19">
        <f t="shared" si="13"/>
        <v>9393382.1384520456</v>
      </c>
      <c r="V86" s="19">
        <f t="shared" si="13"/>
        <v>12817356.776246021</v>
      </c>
      <c r="W86" s="19">
        <f t="shared" si="13"/>
        <v>0</v>
      </c>
      <c r="X86" s="19">
        <f t="shared" si="13"/>
        <v>0</v>
      </c>
      <c r="Y86" s="19">
        <f t="shared" si="13"/>
        <v>0</v>
      </c>
    </row>
    <row r="87" spans="1:25" x14ac:dyDescent="0.35">
      <c r="A87" s="96">
        <v>2044</v>
      </c>
      <c r="B87" s="140">
        <v>7326370.8963454571</v>
      </c>
      <c r="C87" s="187">
        <v>7691321.045597868</v>
      </c>
      <c r="D87" s="140">
        <v>11502711.534365058</v>
      </c>
      <c r="E87" s="140">
        <v>0</v>
      </c>
      <c r="F87" s="140">
        <v>0</v>
      </c>
      <c r="G87" s="140">
        <v>0</v>
      </c>
      <c r="H87" s="140">
        <v>412180.88547062938</v>
      </c>
      <c r="I87" s="187">
        <v>527020.3704369819</v>
      </c>
      <c r="J87" s="140">
        <v>871090.16965795332</v>
      </c>
      <c r="K87" s="140">
        <v>0</v>
      </c>
      <c r="L87" s="140">
        <v>0</v>
      </c>
      <c r="M87" s="140">
        <v>0</v>
      </c>
      <c r="N87" s="140">
        <v>643558.49797703139</v>
      </c>
      <c r="O87" s="187">
        <v>1840235.2300442483</v>
      </c>
      <c r="P87" s="140">
        <v>1021112.8970128497</v>
      </c>
      <c r="Q87" s="140">
        <v>0</v>
      </c>
      <c r="R87" s="140">
        <v>0</v>
      </c>
      <c r="S87" s="140">
        <v>0</v>
      </c>
      <c r="T87" s="19">
        <f t="shared" si="13"/>
        <v>8382110.2797931181</v>
      </c>
      <c r="U87" s="19">
        <f t="shared" si="13"/>
        <v>10058576.646079099</v>
      </c>
      <c r="V87" s="19">
        <f t="shared" si="13"/>
        <v>13394914.601035861</v>
      </c>
      <c r="W87" s="19">
        <f t="shared" si="13"/>
        <v>0</v>
      </c>
      <c r="X87" s="19">
        <f t="shared" si="13"/>
        <v>0</v>
      </c>
      <c r="Y87" s="19">
        <f t="shared" si="13"/>
        <v>0</v>
      </c>
    </row>
    <row r="88" spans="1:25" x14ac:dyDescent="0.35">
      <c r="A88" s="96">
        <v>2045</v>
      </c>
      <c r="B88" s="140">
        <v>7883335.31947097</v>
      </c>
      <c r="C88" s="187">
        <v>8217858.5979118329</v>
      </c>
      <c r="D88" s="140">
        <v>12086023.888029061</v>
      </c>
      <c r="E88" s="140">
        <v>0</v>
      </c>
      <c r="F88" s="140">
        <v>0</v>
      </c>
      <c r="G88" s="140">
        <v>0</v>
      </c>
      <c r="H88" s="140">
        <v>442848.31015813537</v>
      </c>
      <c r="I88" s="187">
        <v>562756.62420681037</v>
      </c>
      <c r="J88" s="140">
        <v>918769.7071449986</v>
      </c>
      <c r="K88" s="140">
        <v>0</v>
      </c>
      <c r="L88" s="140">
        <v>0</v>
      </c>
      <c r="M88" s="140">
        <v>0</v>
      </c>
      <c r="N88" s="140">
        <v>691441.07202259894</v>
      </c>
      <c r="O88" s="187">
        <v>1965018.0977776384</v>
      </c>
      <c r="P88" s="140">
        <v>1077004.0003078701</v>
      </c>
      <c r="Q88" s="140">
        <v>0</v>
      </c>
      <c r="R88" s="140">
        <v>0</v>
      </c>
      <c r="S88" s="140">
        <v>0</v>
      </c>
      <c r="T88" s="19">
        <f t="shared" si="13"/>
        <v>9017624.7016517036</v>
      </c>
      <c r="U88" s="19">
        <f t="shared" si="13"/>
        <v>10745633.319896283</v>
      </c>
      <c r="V88" s="19">
        <f t="shared" si="13"/>
        <v>14081797.595481928</v>
      </c>
      <c r="W88" s="19">
        <f t="shared" si="13"/>
        <v>0</v>
      </c>
      <c r="X88" s="19">
        <f t="shared" si="13"/>
        <v>0</v>
      </c>
      <c r="Y88" s="19">
        <f t="shared" si="13"/>
        <v>0</v>
      </c>
    </row>
    <row r="89" spans="1:25" x14ac:dyDescent="0.35">
      <c r="A89" s="96">
        <v>2046</v>
      </c>
      <c r="B89" s="140">
        <v>8452818.0596553944</v>
      </c>
      <c r="C89" s="187">
        <v>8755715.5019125268</v>
      </c>
      <c r="D89" s="140">
        <v>12748502.296651673</v>
      </c>
      <c r="E89" s="140">
        <v>0</v>
      </c>
      <c r="F89" s="140">
        <v>0</v>
      </c>
      <c r="G89" s="140">
        <v>0</v>
      </c>
      <c r="H89" s="140">
        <v>473947.17467840982</v>
      </c>
      <c r="I89" s="187">
        <v>598346.01730795985</v>
      </c>
      <c r="J89" s="140">
        <v>969198.82258030423</v>
      </c>
      <c r="K89" s="140">
        <v>0</v>
      </c>
      <c r="L89" s="140">
        <v>0</v>
      </c>
      <c r="M89" s="140">
        <v>0</v>
      </c>
      <c r="N89" s="140">
        <v>739997.27451754734</v>
      </c>
      <c r="O89" s="187">
        <v>2089288.1614685827</v>
      </c>
      <c r="P89" s="140">
        <v>1136118.2251603445</v>
      </c>
      <c r="Q89" s="140">
        <v>0</v>
      </c>
      <c r="R89" s="140">
        <v>0</v>
      </c>
      <c r="S89" s="140">
        <v>0</v>
      </c>
      <c r="T89" s="19">
        <f t="shared" si="13"/>
        <v>9666762.5088513512</v>
      </c>
      <c r="U89" s="19">
        <f t="shared" si="13"/>
        <v>11443349.680689069</v>
      </c>
      <c r="V89" s="19">
        <f t="shared" si="13"/>
        <v>14853819.344392322</v>
      </c>
      <c r="W89" s="19">
        <f t="shared" si="13"/>
        <v>0</v>
      </c>
      <c r="X89" s="19">
        <f t="shared" si="13"/>
        <v>0</v>
      </c>
      <c r="Y89" s="19">
        <f t="shared" si="13"/>
        <v>0</v>
      </c>
    </row>
    <row r="90" spans="1:25" x14ac:dyDescent="0.35">
      <c r="A90" s="96">
        <v>2047</v>
      </c>
      <c r="B90" s="140">
        <v>9029635.1966725644</v>
      </c>
      <c r="C90" s="187">
        <v>9294471.3281032313</v>
      </c>
      <c r="D90" s="140">
        <v>13440950.837693727</v>
      </c>
      <c r="E90" s="140">
        <v>0</v>
      </c>
      <c r="F90" s="140">
        <v>0</v>
      </c>
      <c r="G90" s="140">
        <v>0</v>
      </c>
      <c r="H90" s="140">
        <v>505410.09050896467</v>
      </c>
      <c r="I90" s="187">
        <v>634201.4778895115</v>
      </c>
      <c r="J90" s="140">
        <v>1021316.7376526491</v>
      </c>
      <c r="K90" s="140">
        <v>0</v>
      </c>
      <c r="L90" s="140">
        <v>0</v>
      </c>
      <c r="M90" s="140">
        <v>0</v>
      </c>
      <c r="N90" s="140">
        <v>789121.88841314381</v>
      </c>
      <c r="O90" s="187">
        <v>2214487.2722675153</v>
      </c>
      <c r="P90" s="140">
        <v>1197212.1016607401</v>
      </c>
      <c r="Q90" s="140">
        <v>0</v>
      </c>
      <c r="R90" s="140">
        <v>0</v>
      </c>
      <c r="S90" s="140">
        <v>0</v>
      </c>
      <c r="T90" s="19">
        <f t="shared" si="13"/>
        <v>10324167.175594673</v>
      </c>
      <c r="U90" s="19">
        <f t="shared" si="13"/>
        <v>12143160.078260258</v>
      </c>
      <c r="V90" s="19">
        <f t="shared" si="13"/>
        <v>15659479.677007115</v>
      </c>
      <c r="W90" s="19">
        <f t="shared" si="13"/>
        <v>0</v>
      </c>
      <c r="X90" s="19">
        <f t="shared" si="13"/>
        <v>0</v>
      </c>
      <c r="Y90" s="19">
        <f t="shared" si="13"/>
        <v>0</v>
      </c>
    </row>
    <row r="91" spans="1:25" x14ac:dyDescent="0.35">
      <c r="A91" s="96">
        <v>2048</v>
      </c>
      <c r="B91" s="140">
        <v>9611691.4600899257</v>
      </c>
      <c r="C91" s="187">
        <v>9833273.6213590037</v>
      </c>
      <c r="D91" s="140">
        <v>14140133.656223357</v>
      </c>
      <c r="E91" s="140">
        <v>0</v>
      </c>
      <c r="F91" s="140">
        <v>0</v>
      </c>
      <c r="G91" s="140">
        <v>0</v>
      </c>
      <c r="H91" s="140">
        <v>537077.1924376731</v>
      </c>
      <c r="I91" s="187">
        <v>669797.03302641748</v>
      </c>
      <c r="J91" s="140">
        <v>1072743.1548627939</v>
      </c>
      <c r="K91" s="140">
        <v>0</v>
      </c>
      <c r="L91" s="140">
        <v>0</v>
      </c>
      <c r="M91" s="140">
        <v>0</v>
      </c>
      <c r="N91" s="140">
        <v>838565.30820990517</v>
      </c>
      <c r="O91" s="187">
        <v>2338778.8523853836</v>
      </c>
      <c r="P91" s="140">
        <v>1257495.3876965153</v>
      </c>
      <c r="Q91" s="140">
        <v>0</v>
      </c>
      <c r="R91" s="140">
        <v>0</v>
      </c>
      <c r="S91" s="140">
        <v>0</v>
      </c>
      <c r="T91" s="19">
        <f t="shared" si="13"/>
        <v>10987333.960737504</v>
      </c>
      <c r="U91" s="19">
        <f t="shared" si="13"/>
        <v>12841849.506770805</v>
      </c>
      <c r="V91" s="19">
        <f t="shared" si="13"/>
        <v>16470372.198782666</v>
      </c>
      <c r="W91" s="19">
        <f t="shared" si="13"/>
        <v>0</v>
      </c>
      <c r="X91" s="19">
        <f t="shared" si="13"/>
        <v>0</v>
      </c>
      <c r="Y91" s="19">
        <f t="shared" si="13"/>
        <v>0</v>
      </c>
    </row>
    <row r="92" spans="1:25" x14ac:dyDescent="0.35">
      <c r="A92" s="96">
        <v>2049</v>
      </c>
      <c r="B92" s="140">
        <v>10197089.570061386</v>
      </c>
      <c r="C92" s="187">
        <v>10368141.771262372</v>
      </c>
      <c r="D92" s="140">
        <v>14829743.98605106</v>
      </c>
      <c r="E92" s="140">
        <v>0</v>
      </c>
      <c r="F92" s="140">
        <v>0</v>
      </c>
      <c r="G92" s="140">
        <v>0</v>
      </c>
      <c r="H92" s="140">
        <v>568902.56606753159</v>
      </c>
      <c r="I92" s="187">
        <v>705130.78361892502</v>
      </c>
      <c r="J92" s="140">
        <v>1123443.4479274817</v>
      </c>
      <c r="K92" s="140">
        <v>0</v>
      </c>
      <c r="L92" s="140">
        <v>0</v>
      </c>
      <c r="M92" s="140">
        <v>0</v>
      </c>
      <c r="N92" s="140">
        <v>888255.8454782787</v>
      </c>
      <c r="O92" s="187">
        <v>2462156.2705979203</v>
      </c>
      <c r="P92" s="140">
        <v>1316927.49350367</v>
      </c>
      <c r="Q92" s="140">
        <v>0</v>
      </c>
      <c r="R92" s="140">
        <v>0</v>
      </c>
      <c r="S92" s="140">
        <v>0</v>
      </c>
      <c r="T92" s="19">
        <f t="shared" si="13"/>
        <v>11654247.981607197</v>
      </c>
      <c r="U92" s="19">
        <f t="shared" si="13"/>
        <v>13535428.825479217</v>
      </c>
      <c r="V92" s="19">
        <f t="shared" si="13"/>
        <v>17270114.927482214</v>
      </c>
      <c r="W92" s="19">
        <f t="shared" si="13"/>
        <v>0</v>
      </c>
      <c r="X92" s="19">
        <f t="shared" si="13"/>
        <v>0</v>
      </c>
      <c r="Y92" s="19">
        <f t="shared" si="13"/>
        <v>0</v>
      </c>
    </row>
    <row r="93" spans="1:25" x14ac:dyDescent="0.35">
      <c r="A93" s="96">
        <v>2050</v>
      </c>
      <c r="B93" s="140">
        <v>10784866.552416258</v>
      </c>
      <c r="C93" s="187">
        <v>10897563.550714564</v>
      </c>
      <c r="D93" s="140">
        <v>15509205.222904254</v>
      </c>
      <c r="E93" s="140">
        <v>0</v>
      </c>
      <c r="F93" s="140">
        <v>0</v>
      </c>
      <c r="G93" s="140">
        <v>0</v>
      </c>
      <c r="H93" s="140">
        <v>600827.68129366578</v>
      </c>
      <c r="I93" s="187">
        <v>740004.09108616342</v>
      </c>
      <c r="J93" s="140">
        <v>1173366.8518663221</v>
      </c>
      <c r="K93" s="140">
        <v>0</v>
      </c>
      <c r="L93" s="140">
        <v>0</v>
      </c>
      <c r="M93" s="140">
        <v>0</v>
      </c>
      <c r="N93" s="140">
        <v>938102.11425713159</v>
      </c>
      <c r="O93" s="187">
        <v>2583925.9261734081</v>
      </c>
      <c r="P93" s="140">
        <v>1375448.9111483546</v>
      </c>
      <c r="Q93" s="140">
        <v>0</v>
      </c>
      <c r="R93" s="140">
        <v>0</v>
      </c>
      <c r="S93" s="140">
        <v>0</v>
      </c>
      <c r="T93" s="19">
        <f t="shared" si="13"/>
        <v>12323796.347967055</v>
      </c>
      <c r="U93" s="19">
        <f t="shared" si="13"/>
        <v>14221493.567974135</v>
      </c>
      <c r="V93" s="19">
        <f t="shared" si="13"/>
        <v>18058020.985918932</v>
      </c>
      <c r="W93" s="19">
        <f t="shared" si="13"/>
        <v>0</v>
      </c>
      <c r="X93" s="19">
        <f t="shared" si="13"/>
        <v>0</v>
      </c>
      <c r="Y93" s="19">
        <f t="shared" si="13"/>
        <v>0</v>
      </c>
    </row>
    <row r="94" spans="1:25" x14ac:dyDescent="0.35">
      <c r="A94" s="96">
        <v>2051</v>
      </c>
      <c r="B94" s="140">
        <v>11374899.977407675</v>
      </c>
      <c r="C94" s="187">
        <v>11421387.069608992</v>
      </c>
      <c r="D94" s="140">
        <v>16179148.447375212</v>
      </c>
      <c r="E94" s="140">
        <v>0</v>
      </c>
      <c r="F94" s="140">
        <v>0</v>
      </c>
      <c r="G94" s="140">
        <v>0</v>
      </c>
      <c r="H94" s="140">
        <v>632897.78944949864</v>
      </c>
      <c r="I94" s="187">
        <v>774595.45173691364</v>
      </c>
      <c r="J94" s="140">
        <v>1222657.5905045327</v>
      </c>
      <c r="K94" s="140">
        <v>0</v>
      </c>
      <c r="L94" s="140">
        <v>0</v>
      </c>
      <c r="M94" s="140">
        <v>0</v>
      </c>
      <c r="N94" s="140">
        <v>988174.76770190033</v>
      </c>
      <c r="O94" s="187">
        <v>2704711.0876120371</v>
      </c>
      <c r="P94" s="140">
        <v>1433228.7032754195</v>
      </c>
      <c r="Q94" s="140">
        <v>0</v>
      </c>
      <c r="R94" s="140">
        <v>0</v>
      </c>
      <c r="S94" s="140">
        <v>0</v>
      </c>
      <c r="T94" s="19">
        <f t="shared" si="13"/>
        <v>12995972.534559073</v>
      </c>
      <c r="U94" s="19">
        <f t="shared" si="13"/>
        <v>14900693.608957943</v>
      </c>
      <c r="V94" s="19">
        <f t="shared" si="13"/>
        <v>18835034.741155162</v>
      </c>
      <c r="W94" s="19">
        <f t="shared" si="13"/>
        <v>0</v>
      </c>
      <c r="X94" s="19">
        <f t="shared" si="13"/>
        <v>0</v>
      </c>
      <c r="Y94" s="19">
        <f t="shared" si="13"/>
        <v>0</v>
      </c>
    </row>
    <row r="95" spans="1:25" x14ac:dyDescent="0.35">
      <c r="C95" s="188">
        <v>11938625.663067587</v>
      </c>
      <c r="I95" s="188">
        <v>808595.52682056744</v>
      </c>
      <c r="O95" s="188">
        <v>2823431.6143749976</v>
      </c>
    </row>
    <row r="97" spans="2:22" x14ac:dyDescent="0.35">
      <c r="B97">
        <f>B64/B28</f>
        <v>3.6060925805004715</v>
      </c>
      <c r="C97">
        <f t="shared" ref="C97:V97" si="14">C64/C28</f>
        <v>3.5965134561396148</v>
      </c>
      <c r="D97">
        <f t="shared" si="14"/>
        <v>3.6060925805004715</v>
      </c>
      <c r="E97">
        <f t="shared" si="14"/>
        <v>3.6060925805004715</v>
      </c>
      <c r="F97">
        <f t="shared" si="14"/>
        <v>3.6060925805004715</v>
      </c>
      <c r="G97">
        <f t="shared" si="14"/>
        <v>3.6060925805004715</v>
      </c>
      <c r="H97" t="e">
        <f t="shared" si="14"/>
        <v>#DIV/0!</v>
      </c>
      <c r="I97" t="e">
        <f t="shared" si="14"/>
        <v>#DIV/0!</v>
      </c>
      <c r="J97" t="e">
        <f t="shared" si="14"/>
        <v>#DIV/0!</v>
      </c>
      <c r="K97" t="e">
        <f t="shared" si="14"/>
        <v>#DIV/0!</v>
      </c>
      <c r="L97" t="e">
        <f t="shared" si="14"/>
        <v>#DIV/0!</v>
      </c>
      <c r="M97" t="e">
        <f t="shared" si="14"/>
        <v>#DIV/0!</v>
      </c>
      <c r="N97">
        <f t="shared" si="14"/>
        <v>151.84941902483288</v>
      </c>
      <c r="O97">
        <f t="shared" si="14"/>
        <v>130.78533452313908</v>
      </c>
      <c r="P97">
        <f t="shared" si="14"/>
        <v>151.84941902483288</v>
      </c>
      <c r="Q97">
        <f t="shared" si="14"/>
        <v>151.84941902483288</v>
      </c>
      <c r="R97">
        <f t="shared" si="14"/>
        <v>151.84941902483288</v>
      </c>
      <c r="S97">
        <f t="shared" si="14"/>
        <v>151.84941902483288</v>
      </c>
      <c r="T97">
        <f t="shared" si="14"/>
        <v>3.7685897332811051</v>
      </c>
      <c r="U97">
        <f t="shared" si="14"/>
        <v>3.6462719073370327</v>
      </c>
      <c r="V97">
        <f t="shared" si="14"/>
        <v>3.7685897332811051</v>
      </c>
    </row>
    <row r="98" spans="2:22" x14ac:dyDescent="0.35">
      <c r="B98">
        <f t="shared" ref="B98:S98" si="15">B65/B29</f>
        <v>3.9208663127600931</v>
      </c>
      <c r="C98">
        <f t="shared" si="15"/>
        <v>3.4900447037881368</v>
      </c>
      <c r="D98">
        <f t="shared" si="15"/>
        <v>3.1449470358594001</v>
      </c>
      <c r="E98">
        <f t="shared" si="15"/>
        <v>3.1118708720914925</v>
      </c>
      <c r="F98">
        <f t="shared" si="15"/>
        <v>3.5429910219982697</v>
      </c>
      <c r="G98">
        <f t="shared" si="15"/>
        <v>3.5429910219982692</v>
      </c>
      <c r="H98" t="e">
        <f t="shared" si="15"/>
        <v>#DIV/0!</v>
      </c>
      <c r="I98">
        <f t="shared" si="15"/>
        <v>26.304138229015088</v>
      </c>
      <c r="J98" t="e">
        <f t="shared" si="15"/>
        <v>#DIV/0!</v>
      </c>
      <c r="K98" t="e">
        <f t="shared" si="15"/>
        <v>#DIV/0!</v>
      </c>
      <c r="L98">
        <f t="shared" si="15"/>
        <v>31.118275146319561</v>
      </c>
      <c r="M98">
        <f t="shared" si="15"/>
        <v>31.118275146319558</v>
      </c>
      <c r="N98">
        <f t="shared" si="15"/>
        <v>151.84941902483288</v>
      </c>
      <c r="O98">
        <f t="shared" si="15"/>
        <v>130.78533452313908</v>
      </c>
      <c r="P98">
        <f t="shared" si="15"/>
        <v>151.84941902483288</v>
      </c>
      <c r="Q98">
        <f t="shared" si="15"/>
        <v>151.84941902483288</v>
      </c>
      <c r="R98">
        <f t="shared" si="15"/>
        <v>151.84941902483288</v>
      </c>
      <c r="S98">
        <f t="shared" si="15"/>
        <v>151.84941902483294</v>
      </c>
    </row>
    <row r="99" spans="2:22" x14ac:dyDescent="0.35">
      <c r="B99">
        <f t="shared" ref="B99:S99" si="16">B66/B30</f>
        <v>3.9155891320482223</v>
      </c>
      <c r="C99">
        <f t="shared" si="16"/>
        <v>3.632355999991487</v>
      </c>
      <c r="D99">
        <f t="shared" si="16"/>
        <v>3.3787068966203759</v>
      </c>
      <c r="E99">
        <f t="shared" si="16"/>
        <v>3.3388409162340533</v>
      </c>
      <c r="F99">
        <f t="shared" si="16"/>
        <v>3.5893702726305183</v>
      </c>
      <c r="G99">
        <f t="shared" si="16"/>
        <v>3.5893702726305188</v>
      </c>
      <c r="H99">
        <f t="shared" si="16"/>
        <v>31.118275146319554</v>
      </c>
      <c r="I99">
        <f t="shared" si="16"/>
        <v>26.304138229015091</v>
      </c>
      <c r="J99">
        <f t="shared" si="16"/>
        <v>31.118275146319554</v>
      </c>
      <c r="K99">
        <f t="shared" si="16"/>
        <v>31.118275146319554</v>
      </c>
      <c r="L99">
        <f t="shared" si="16"/>
        <v>31.118275146319547</v>
      </c>
      <c r="M99">
        <f t="shared" si="16"/>
        <v>31.118275146319554</v>
      </c>
      <c r="N99">
        <f t="shared" si="16"/>
        <v>151.84941902483288</v>
      </c>
      <c r="O99">
        <f t="shared" si="16"/>
        <v>130.78533452313908</v>
      </c>
      <c r="P99">
        <f t="shared" si="16"/>
        <v>151.84941902483288</v>
      </c>
      <c r="Q99">
        <f t="shared" si="16"/>
        <v>151.84941902483288</v>
      </c>
      <c r="R99">
        <f t="shared" si="16"/>
        <v>151.84941902483291</v>
      </c>
      <c r="S99">
        <f t="shared" si="16"/>
        <v>151.84941902483288</v>
      </c>
    </row>
    <row r="100" spans="2:22" x14ac:dyDescent="0.35">
      <c r="B100">
        <f t="shared" ref="B100:S100" si="17">B67/B31</f>
        <v>4.005049508884893</v>
      </c>
      <c r="C100">
        <f t="shared" si="17"/>
        <v>3.8018922750851671</v>
      </c>
      <c r="D100">
        <f t="shared" si="17"/>
        <v>3.7528865473814088</v>
      </c>
      <c r="E100">
        <f t="shared" si="17"/>
        <v>3.7017233417347324</v>
      </c>
      <c r="F100">
        <f t="shared" si="17"/>
        <v>3.8274965261360019</v>
      </c>
      <c r="G100">
        <f t="shared" si="17"/>
        <v>3.8274965261360023</v>
      </c>
      <c r="H100">
        <f t="shared" si="17"/>
        <v>31.118275146319551</v>
      </c>
      <c r="I100">
        <f t="shared" si="17"/>
        <v>26.304138229015091</v>
      </c>
      <c r="J100">
        <f t="shared" si="17"/>
        <v>31.118275146319551</v>
      </c>
      <c r="K100">
        <f t="shared" si="17"/>
        <v>31.118275146319558</v>
      </c>
      <c r="L100">
        <f t="shared" si="17"/>
        <v>31.118275146319554</v>
      </c>
      <c r="M100">
        <f t="shared" si="17"/>
        <v>31.118275146319551</v>
      </c>
      <c r="N100">
        <f t="shared" si="17"/>
        <v>151.84941902483288</v>
      </c>
      <c r="O100">
        <f t="shared" si="17"/>
        <v>130.78533452313908</v>
      </c>
      <c r="P100">
        <f t="shared" si="17"/>
        <v>151.84941902483288</v>
      </c>
      <c r="Q100">
        <f t="shared" si="17"/>
        <v>151.84941902483288</v>
      </c>
      <c r="R100">
        <f t="shared" si="17"/>
        <v>151.84941902483283</v>
      </c>
      <c r="S100">
        <f t="shared" si="17"/>
        <v>151.84941902483288</v>
      </c>
    </row>
    <row r="101" spans="2:22" x14ac:dyDescent="0.35">
      <c r="B101">
        <f t="shared" ref="B101:S101" si="18">B68/B32</f>
        <v>4.0910251372475344</v>
      </c>
      <c r="C101">
        <f t="shared" si="18"/>
        <v>3.9974334366475097</v>
      </c>
      <c r="D101">
        <f t="shared" si="18"/>
        <v>4.0460230420622008</v>
      </c>
      <c r="E101">
        <f t="shared" si="18"/>
        <v>3.9863122597301892</v>
      </c>
      <c r="F101">
        <f t="shared" si="18"/>
        <v>4.0262266521466907</v>
      </c>
      <c r="G101">
        <f t="shared" si="18"/>
        <v>4.0262266521466916</v>
      </c>
      <c r="H101">
        <f t="shared" si="18"/>
        <v>31.118275146319551</v>
      </c>
      <c r="I101">
        <f t="shared" si="18"/>
        <v>26.304138229015091</v>
      </c>
      <c r="J101">
        <f t="shared" si="18"/>
        <v>31.118275146319554</v>
      </c>
      <c r="K101">
        <f t="shared" si="18"/>
        <v>31.118275146319551</v>
      </c>
      <c r="L101">
        <f t="shared" si="18"/>
        <v>31.118275146319554</v>
      </c>
      <c r="M101">
        <f t="shared" si="18"/>
        <v>31.118275146319561</v>
      </c>
      <c r="N101">
        <f t="shared" si="18"/>
        <v>151.84941902483288</v>
      </c>
      <c r="O101">
        <f t="shared" si="18"/>
        <v>130.78533452313908</v>
      </c>
      <c r="P101">
        <f t="shared" si="18"/>
        <v>151.84941902483288</v>
      </c>
      <c r="Q101">
        <f t="shared" si="18"/>
        <v>151.84941902483288</v>
      </c>
      <c r="R101">
        <f t="shared" si="18"/>
        <v>151.84941902483288</v>
      </c>
      <c r="S101">
        <f t="shared" si="18"/>
        <v>151.84941902483286</v>
      </c>
    </row>
    <row r="102" spans="2:22" x14ac:dyDescent="0.35">
      <c r="B102">
        <f t="shared" ref="B102:S102" si="19">B69/B33</f>
        <v>4.1220248522763683</v>
      </c>
      <c r="C102">
        <f t="shared" si="19"/>
        <v>4.0245802316345385</v>
      </c>
      <c r="D102">
        <f t="shared" si="19"/>
        <v>4.1381998013867758</v>
      </c>
      <c r="E102">
        <f t="shared" si="19"/>
        <v>4.0765212971651605</v>
      </c>
      <c r="F102">
        <f t="shared" si="19"/>
        <v>4.0756630082275187</v>
      </c>
      <c r="G102">
        <f t="shared" si="19"/>
        <v>4.0756630082275187</v>
      </c>
      <c r="H102">
        <f t="shared" si="19"/>
        <v>31.118275146319558</v>
      </c>
      <c r="I102">
        <f t="shared" si="19"/>
        <v>26.304138229015091</v>
      </c>
      <c r="J102">
        <f t="shared" si="19"/>
        <v>31.118275146319554</v>
      </c>
      <c r="K102">
        <f t="shared" si="19"/>
        <v>31.118275146319554</v>
      </c>
      <c r="L102">
        <f t="shared" si="19"/>
        <v>31.118275146319558</v>
      </c>
      <c r="M102">
        <f t="shared" si="19"/>
        <v>31.118275146319561</v>
      </c>
      <c r="N102">
        <f t="shared" si="19"/>
        <v>151.84941902483288</v>
      </c>
      <c r="O102">
        <f t="shared" si="19"/>
        <v>130.78533452313908</v>
      </c>
      <c r="P102">
        <f t="shared" si="19"/>
        <v>151.84941902483288</v>
      </c>
      <c r="Q102">
        <f t="shared" si="19"/>
        <v>151.84941902483288</v>
      </c>
      <c r="R102">
        <f t="shared" si="19"/>
        <v>151.84941902483288</v>
      </c>
      <c r="S102">
        <f t="shared" si="19"/>
        <v>151.84941902483291</v>
      </c>
    </row>
    <row r="103" spans="2:22" x14ac:dyDescent="0.35">
      <c r="B103">
        <f t="shared" ref="B103:S103" si="20">B70/B34</f>
        <v>4.1491041432995655</v>
      </c>
      <c r="C103">
        <f t="shared" si="20"/>
        <v>4.0825233723456202</v>
      </c>
      <c r="D103">
        <f t="shared" si="20"/>
        <v>4.1939276523389939</v>
      </c>
      <c r="E103">
        <f t="shared" si="20"/>
        <v>4.1314748194619471</v>
      </c>
      <c r="F103">
        <f t="shared" si="20"/>
        <v>4.1043647425068173</v>
      </c>
      <c r="G103">
        <f t="shared" si="20"/>
        <v>4.1043647425068173</v>
      </c>
      <c r="H103">
        <f t="shared" si="20"/>
        <v>31.118275146319554</v>
      </c>
      <c r="I103">
        <f t="shared" si="20"/>
        <v>26.304138229015091</v>
      </c>
      <c r="J103">
        <f t="shared" si="20"/>
        <v>31.118275146319554</v>
      </c>
      <c r="K103">
        <f t="shared" si="20"/>
        <v>31.118275146319551</v>
      </c>
      <c r="L103">
        <f t="shared" si="20"/>
        <v>31.118275146319558</v>
      </c>
      <c r="M103">
        <f t="shared" si="20"/>
        <v>31.118275146319561</v>
      </c>
      <c r="N103">
        <f t="shared" si="20"/>
        <v>151.84941902483288</v>
      </c>
      <c r="O103">
        <f t="shared" si="20"/>
        <v>130.78533452313908</v>
      </c>
      <c r="P103">
        <f t="shared" si="20"/>
        <v>151.84941902483288</v>
      </c>
      <c r="Q103">
        <f t="shared" si="20"/>
        <v>151.84941902483288</v>
      </c>
      <c r="R103">
        <f t="shared" si="20"/>
        <v>151.84941902483286</v>
      </c>
      <c r="S103">
        <f t="shared" si="20"/>
        <v>151.84941902483288</v>
      </c>
    </row>
    <row r="104" spans="2:22" x14ac:dyDescent="0.35">
      <c r="B104">
        <f t="shared" ref="B104:S104" si="21">B71/B35</f>
        <v>4.1711603319098982</v>
      </c>
      <c r="C104">
        <f t="shared" si="21"/>
        <v>4.1164638601763155</v>
      </c>
      <c r="D104">
        <f t="shared" si="21"/>
        <v>4.2103812895900985</v>
      </c>
      <c r="E104">
        <f t="shared" si="21"/>
        <v>4.1484205473648403</v>
      </c>
      <c r="F104">
        <f t="shared" si="21"/>
        <v>4.1132034400460524</v>
      </c>
      <c r="G104">
        <f t="shared" si="21"/>
        <v>4.1132034400460524</v>
      </c>
      <c r="H104">
        <f t="shared" si="21"/>
        <v>31.118275146319554</v>
      </c>
      <c r="I104">
        <f t="shared" si="21"/>
        <v>26.304138229015088</v>
      </c>
      <c r="J104">
        <f t="shared" si="21"/>
        <v>31.118275146319554</v>
      </c>
      <c r="K104">
        <f t="shared" si="21"/>
        <v>31.118275146319554</v>
      </c>
      <c r="L104">
        <f t="shared" si="21"/>
        <v>31.118275146319544</v>
      </c>
      <c r="M104">
        <f t="shared" si="21"/>
        <v>31.118275146319558</v>
      </c>
      <c r="N104">
        <f t="shared" si="21"/>
        <v>151.84941902483288</v>
      </c>
      <c r="O104">
        <f t="shared" si="21"/>
        <v>130.78533452313908</v>
      </c>
      <c r="P104">
        <f t="shared" si="21"/>
        <v>151.84941902483288</v>
      </c>
      <c r="Q104">
        <f t="shared" si="21"/>
        <v>151.84941902483288</v>
      </c>
      <c r="R104">
        <f t="shared" si="21"/>
        <v>151.84941902483283</v>
      </c>
      <c r="S104">
        <f t="shared" si="21"/>
        <v>151.84941902483283</v>
      </c>
    </row>
    <row r="105" spans="2:22" x14ac:dyDescent="0.35">
      <c r="B105">
        <f t="shared" ref="B105:S105" si="22">B72/B36</f>
        <v>4.1971653574780872</v>
      </c>
      <c r="C105">
        <f t="shared" si="22"/>
        <v>4.157030189739598</v>
      </c>
      <c r="D105">
        <f t="shared" si="22"/>
        <v>4.2333194917330763</v>
      </c>
      <c r="E105">
        <f t="shared" si="22"/>
        <v>4.1716423764981716</v>
      </c>
      <c r="F105">
        <f t="shared" si="22"/>
        <v>4.1317593600909772</v>
      </c>
      <c r="G105">
        <f t="shared" si="22"/>
        <v>4.1317593600909772</v>
      </c>
      <c r="H105">
        <f t="shared" si="22"/>
        <v>31.118275146319551</v>
      </c>
      <c r="I105">
        <f t="shared" si="22"/>
        <v>26.304138229015091</v>
      </c>
      <c r="J105">
        <f t="shared" si="22"/>
        <v>31.118275146319554</v>
      </c>
      <c r="K105">
        <f t="shared" si="22"/>
        <v>31.118275146319554</v>
      </c>
      <c r="L105">
        <f t="shared" si="22"/>
        <v>31.118275146319561</v>
      </c>
      <c r="M105">
        <f t="shared" si="22"/>
        <v>31.118275146319561</v>
      </c>
      <c r="N105">
        <f t="shared" si="22"/>
        <v>151.84941902483288</v>
      </c>
      <c r="O105">
        <f t="shared" si="22"/>
        <v>130.78533452313908</v>
      </c>
      <c r="P105">
        <f t="shared" si="22"/>
        <v>151.84941902483288</v>
      </c>
      <c r="Q105">
        <f t="shared" si="22"/>
        <v>151.84941902483288</v>
      </c>
      <c r="R105">
        <f t="shared" si="22"/>
        <v>151.84941902483291</v>
      </c>
      <c r="S105">
        <f t="shared" si="22"/>
        <v>151.84941902483291</v>
      </c>
    </row>
    <row r="106" spans="2:22" x14ac:dyDescent="0.35">
      <c r="B106">
        <f t="shared" ref="B106:S106" si="23">B73/B37</f>
        <v>4.2273784789677435</v>
      </c>
      <c r="C106">
        <f t="shared" si="23"/>
        <v>4.190174738824374</v>
      </c>
      <c r="D106">
        <f t="shared" si="23"/>
        <v>4.2625679908016316</v>
      </c>
      <c r="E106">
        <f t="shared" si="23"/>
        <v>4.1784146205324477</v>
      </c>
      <c r="F106">
        <f t="shared" si="23"/>
        <v>4.1603492817176049</v>
      </c>
      <c r="G106">
        <f t="shared" si="23"/>
        <v>4.1603492817176049</v>
      </c>
      <c r="H106">
        <f t="shared" si="23"/>
        <v>31.118275146319554</v>
      </c>
      <c r="I106">
        <f t="shared" si="23"/>
        <v>26.304138229015095</v>
      </c>
      <c r="J106">
        <f t="shared" si="23"/>
        <v>31.118275146319554</v>
      </c>
      <c r="K106">
        <f t="shared" si="23"/>
        <v>31.118275146319551</v>
      </c>
      <c r="L106">
        <f t="shared" si="23"/>
        <v>31.118275146319554</v>
      </c>
      <c r="M106">
        <f t="shared" si="23"/>
        <v>31.118275146319547</v>
      </c>
      <c r="N106">
        <f t="shared" si="23"/>
        <v>151.84941902483288</v>
      </c>
      <c r="O106">
        <f t="shared" si="23"/>
        <v>130.78533452313908</v>
      </c>
      <c r="P106">
        <f t="shared" si="23"/>
        <v>151.84941902483288</v>
      </c>
      <c r="Q106">
        <f t="shared" si="23"/>
        <v>151.84941902483288</v>
      </c>
      <c r="R106">
        <f t="shared" si="23"/>
        <v>151.84941902483288</v>
      </c>
      <c r="S106">
        <f t="shared" si="23"/>
        <v>151.84941902483286</v>
      </c>
    </row>
    <row r="107" spans="2:22" x14ac:dyDescent="0.35">
      <c r="B107">
        <f t="shared" ref="B107:S107" si="24">B74/B38</f>
        <v>4.2575749128151594</v>
      </c>
      <c r="C107">
        <f t="shared" si="24"/>
        <v>4.2313144003941137</v>
      </c>
      <c r="D107">
        <f t="shared" si="24"/>
        <v>4.2945375448850296</v>
      </c>
      <c r="E107" t="e">
        <f t="shared" si="24"/>
        <v>#DIV/0!</v>
      </c>
      <c r="F107" t="e">
        <f t="shared" si="24"/>
        <v>#DIV/0!</v>
      </c>
      <c r="G107" t="e">
        <f t="shared" si="24"/>
        <v>#DIV/0!</v>
      </c>
      <c r="H107">
        <f t="shared" si="24"/>
        <v>31.118275146319551</v>
      </c>
      <c r="I107">
        <f t="shared" si="24"/>
        <v>26.304138229015091</v>
      </c>
      <c r="J107">
        <f t="shared" si="24"/>
        <v>31.118275146319554</v>
      </c>
      <c r="K107" t="e">
        <f t="shared" si="24"/>
        <v>#DIV/0!</v>
      </c>
      <c r="L107" t="e">
        <f t="shared" si="24"/>
        <v>#DIV/0!</v>
      </c>
      <c r="M107" t="e">
        <f t="shared" si="24"/>
        <v>#DIV/0!</v>
      </c>
      <c r="N107">
        <f t="shared" si="24"/>
        <v>151.84941902483288</v>
      </c>
      <c r="O107">
        <f t="shared" si="24"/>
        <v>130.78533452313908</v>
      </c>
      <c r="P107">
        <f t="shared" si="24"/>
        <v>151.84941902483288</v>
      </c>
      <c r="Q107" t="e">
        <f t="shared" si="24"/>
        <v>#DIV/0!</v>
      </c>
      <c r="R107" t="e">
        <f t="shared" si="24"/>
        <v>#DIV/0!</v>
      </c>
      <c r="S107" t="e">
        <f t="shared" si="24"/>
        <v>#DIV/0!</v>
      </c>
    </row>
    <row r="108" spans="2:22" x14ac:dyDescent="0.35">
      <c r="B108">
        <f t="shared" ref="B108:S108" si="25">B75/B39</f>
        <v>4.2945370012702302</v>
      </c>
      <c r="C108">
        <f t="shared" si="25"/>
        <v>4.273334592464292</v>
      </c>
      <c r="D108">
        <f t="shared" si="25"/>
        <v>4.3784532583012759</v>
      </c>
      <c r="E108" t="e">
        <f t="shared" si="25"/>
        <v>#DIV/0!</v>
      </c>
      <c r="F108" t="e">
        <f t="shared" si="25"/>
        <v>#DIV/0!</v>
      </c>
      <c r="G108" t="e">
        <f t="shared" si="25"/>
        <v>#DIV/0!</v>
      </c>
      <c r="H108">
        <f t="shared" si="25"/>
        <v>31.118275146319554</v>
      </c>
      <c r="I108">
        <f t="shared" si="25"/>
        <v>26.304138229015091</v>
      </c>
      <c r="J108">
        <f t="shared" si="25"/>
        <v>31.118275146319551</v>
      </c>
      <c r="K108" t="e">
        <f t="shared" si="25"/>
        <v>#DIV/0!</v>
      </c>
      <c r="L108" t="e">
        <f t="shared" si="25"/>
        <v>#DIV/0!</v>
      </c>
      <c r="M108" t="e">
        <f t="shared" si="25"/>
        <v>#DIV/0!</v>
      </c>
      <c r="N108">
        <f t="shared" si="25"/>
        <v>151.84941902483288</v>
      </c>
      <c r="O108">
        <f t="shared" si="25"/>
        <v>130.78533452313908</v>
      </c>
      <c r="P108">
        <f t="shared" si="25"/>
        <v>151.84941902483288</v>
      </c>
      <c r="Q108" t="e">
        <f t="shared" si="25"/>
        <v>#DIV/0!</v>
      </c>
      <c r="R108" t="e">
        <f t="shared" si="25"/>
        <v>#DIV/0!</v>
      </c>
      <c r="S108" t="e">
        <f t="shared" si="25"/>
        <v>#DIV/0!</v>
      </c>
    </row>
    <row r="109" spans="2:22" x14ac:dyDescent="0.35">
      <c r="B109">
        <f t="shared" ref="B109:S109" si="26">B76/B40</f>
        <v>4.3358333137485081</v>
      </c>
      <c r="C109">
        <f t="shared" si="26"/>
        <v>4.3183386348213491</v>
      </c>
      <c r="D109">
        <f t="shared" si="26"/>
        <v>4.4624637225863184</v>
      </c>
      <c r="E109" t="e">
        <f t="shared" si="26"/>
        <v>#DIV/0!</v>
      </c>
      <c r="F109" t="e">
        <f t="shared" si="26"/>
        <v>#DIV/0!</v>
      </c>
      <c r="G109" t="e">
        <f t="shared" si="26"/>
        <v>#DIV/0!</v>
      </c>
      <c r="H109">
        <f t="shared" si="26"/>
        <v>31.118275146319554</v>
      </c>
      <c r="I109">
        <f t="shared" si="26"/>
        <v>26.304138229015088</v>
      </c>
      <c r="J109">
        <f t="shared" si="26"/>
        <v>31.118275146319554</v>
      </c>
      <c r="K109" t="e">
        <f t="shared" si="26"/>
        <v>#DIV/0!</v>
      </c>
      <c r="L109" t="e">
        <f t="shared" si="26"/>
        <v>#DIV/0!</v>
      </c>
      <c r="M109" t="e">
        <f t="shared" si="26"/>
        <v>#DIV/0!</v>
      </c>
      <c r="N109">
        <f t="shared" si="26"/>
        <v>151.84941902483288</v>
      </c>
      <c r="O109">
        <f t="shared" si="26"/>
        <v>130.78533452313908</v>
      </c>
      <c r="P109">
        <f t="shared" si="26"/>
        <v>151.84941902483288</v>
      </c>
      <c r="Q109" t="e">
        <f t="shared" si="26"/>
        <v>#DIV/0!</v>
      </c>
      <c r="R109" t="e">
        <f t="shared" si="26"/>
        <v>#DIV/0!</v>
      </c>
      <c r="S109" t="e">
        <f t="shared" si="26"/>
        <v>#DIV/0!</v>
      </c>
    </row>
    <row r="110" spans="2:22" x14ac:dyDescent="0.35">
      <c r="B110">
        <f t="shared" ref="B110:S110" si="27">B77/B41</f>
        <v>4.382595312713411</v>
      </c>
      <c r="C110">
        <f t="shared" si="27"/>
        <v>4.3671182055798035</v>
      </c>
      <c r="D110">
        <f t="shared" si="27"/>
        <v>4.5387191325440481</v>
      </c>
      <c r="E110" t="e">
        <f t="shared" si="27"/>
        <v>#DIV/0!</v>
      </c>
      <c r="F110" t="e">
        <f t="shared" si="27"/>
        <v>#DIV/0!</v>
      </c>
      <c r="G110" t="e">
        <f t="shared" si="27"/>
        <v>#DIV/0!</v>
      </c>
      <c r="H110">
        <f t="shared" si="27"/>
        <v>31.118275146319554</v>
      </c>
      <c r="I110">
        <f t="shared" si="27"/>
        <v>26.304138229015091</v>
      </c>
      <c r="J110">
        <f t="shared" si="27"/>
        <v>31.118275146319554</v>
      </c>
      <c r="K110" t="e">
        <f t="shared" si="27"/>
        <v>#DIV/0!</v>
      </c>
      <c r="L110" t="e">
        <f t="shared" si="27"/>
        <v>#DIV/0!</v>
      </c>
      <c r="M110" t="e">
        <f t="shared" si="27"/>
        <v>#DIV/0!</v>
      </c>
      <c r="N110">
        <f t="shared" si="27"/>
        <v>151.84941902483288</v>
      </c>
      <c r="O110">
        <f t="shared" si="27"/>
        <v>130.78533452313908</v>
      </c>
      <c r="P110">
        <f t="shared" si="27"/>
        <v>151.84941902483288</v>
      </c>
      <c r="Q110" t="e">
        <f t="shared" si="27"/>
        <v>#DIV/0!</v>
      </c>
      <c r="R110" t="e">
        <f t="shared" si="27"/>
        <v>#DIV/0!</v>
      </c>
      <c r="S110" t="e">
        <f t="shared" si="27"/>
        <v>#DIV/0!</v>
      </c>
    </row>
    <row r="111" spans="2:22" x14ac:dyDescent="0.35">
      <c r="B111">
        <f t="shared" ref="B111:S111" si="28">B78/B42</f>
        <v>4.4515282068866178</v>
      </c>
      <c r="C111">
        <f t="shared" si="28"/>
        <v>4.4727439459135034</v>
      </c>
      <c r="D111">
        <f t="shared" si="28"/>
        <v>4.6094349781174859</v>
      </c>
      <c r="E111" t="e">
        <f t="shared" si="28"/>
        <v>#DIV/0!</v>
      </c>
      <c r="F111" t="e">
        <f t="shared" si="28"/>
        <v>#DIV/0!</v>
      </c>
      <c r="G111" t="e">
        <f t="shared" si="28"/>
        <v>#DIV/0!</v>
      </c>
      <c r="H111">
        <f t="shared" si="28"/>
        <v>31.118275146319551</v>
      </c>
      <c r="I111">
        <f t="shared" si="28"/>
        <v>26.304138229015091</v>
      </c>
      <c r="J111">
        <f t="shared" si="28"/>
        <v>31.118275146319554</v>
      </c>
      <c r="K111" t="e">
        <f t="shared" si="28"/>
        <v>#DIV/0!</v>
      </c>
      <c r="L111" t="e">
        <f t="shared" si="28"/>
        <v>#DIV/0!</v>
      </c>
      <c r="M111" t="e">
        <f t="shared" si="28"/>
        <v>#DIV/0!</v>
      </c>
      <c r="N111">
        <f t="shared" si="28"/>
        <v>151.84941902483288</v>
      </c>
      <c r="O111">
        <f t="shared" si="28"/>
        <v>130.78533452313908</v>
      </c>
      <c r="P111">
        <f t="shared" si="28"/>
        <v>151.84941902483288</v>
      </c>
      <c r="Q111" t="e">
        <f t="shared" si="28"/>
        <v>#DIV/0!</v>
      </c>
      <c r="R111" t="e">
        <f t="shared" si="28"/>
        <v>#DIV/0!</v>
      </c>
      <c r="S111" t="e">
        <f t="shared" si="28"/>
        <v>#DIV/0!</v>
      </c>
    </row>
    <row r="112" spans="2:22" x14ac:dyDescent="0.35">
      <c r="B112">
        <f t="shared" ref="B112:S112" si="29">B79/B43</f>
        <v>4.5112227157038882</v>
      </c>
      <c r="C112">
        <f t="shared" si="29"/>
        <v>4.5270570338892675</v>
      </c>
      <c r="D112">
        <f t="shared" si="29"/>
        <v>4.632319595177778</v>
      </c>
      <c r="E112" t="e">
        <f t="shared" si="29"/>
        <v>#DIV/0!</v>
      </c>
      <c r="F112" t="e">
        <f t="shared" si="29"/>
        <v>#DIV/0!</v>
      </c>
      <c r="G112" t="e">
        <f t="shared" si="29"/>
        <v>#DIV/0!</v>
      </c>
      <c r="H112">
        <f t="shared" si="29"/>
        <v>31.118275146319558</v>
      </c>
      <c r="I112">
        <f t="shared" si="29"/>
        <v>26.304138229015091</v>
      </c>
      <c r="J112">
        <f t="shared" si="29"/>
        <v>31.118275146319554</v>
      </c>
      <c r="K112" t="e">
        <f t="shared" si="29"/>
        <v>#DIV/0!</v>
      </c>
      <c r="L112" t="e">
        <f t="shared" si="29"/>
        <v>#DIV/0!</v>
      </c>
      <c r="M112" t="e">
        <f t="shared" si="29"/>
        <v>#DIV/0!</v>
      </c>
      <c r="N112">
        <f t="shared" si="29"/>
        <v>151.84941902483288</v>
      </c>
      <c r="O112">
        <f t="shared" si="29"/>
        <v>130.78533452313908</v>
      </c>
      <c r="P112">
        <f t="shared" si="29"/>
        <v>151.84941902483288</v>
      </c>
      <c r="Q112" t="e">
        <f t="shared" si="29"/>
        <v>#DIV/0!</v>
      </c>
      <c r="R112" t="e">
        <f t="shared" si="29"/>
        <v>#DIV/0!</v>
      </c>
      <c r="S112" t="e">
        <f t="shared" si="29"/>
        <v>#DIV/0!</v>
      </c>
    </row>
    <row r="113" spans="2:19" x14ac:dyDescent="0.35">
      <c r="B113">
        <f t="shared" ref="B113:S113" si="30">B80/B44</f>
        <v>4.55575368164219</v>
      </c>
      <c r="C113">
        <f t="shared" si="30"/>
        <v>4.5673352236812432</v>
      </c>
      <c r="D113">
        <f t="shared" si="30"/>
        <v>4.6513554864124851</v>
      </c>
      <c r="E113" t="e">
        <f t="shared" si="30"/>
        <v>#DIV/0!</v>
      </c>
      <c r="F113" t="e">
        <f t="shared" si="30"/>
        <v>#DIV/0!</v>
      </c>
      <c r="G113" t="e">
        <f t="shared" si="30"/>
        <v>#DIV/0!</v>
      </c>
      <c r="H113">
        <f t="shared" si="30"/>
        <v>31.118275146319554</v>
      </c>
      <c r="I113">
        <f t="shared" si="30"/>
        <v>26.304138229015095</v>
      </c>
      <c r="J113">
        <f t="shared" si="30"/>
        <v>31.118275146319554</v>
      </c>
      <c r="K113" t="e">
        <f t="shared" si="30"/>
        <v>#DIV/0!</v>
      </c>
      <c r="L113" t="e">
        <f t="shared" si="30"/>
        <v>#DIV/0!</v>
      </c>
      <c r="M113" t="e">
        <f t="shared" si="30"/>
        <v>#DIV/0!</v>
      </c>
      <c r="N113">
        <f t="shared" si="30"/>
        <v>151.84941902483288</v>
      </c>
      <c r="O113">
        <f t="shared" si="30"/>
        <v>130.78533452313908</v>
      </c>
      <c r="P113">
        <f t="shared" si="30"/>
        <v>151.84941902483288</v>
      </c>
      <c r="Q113" t="e">
        <f t="shared" si="30"/>
        <v>#DIV/0!</v>
      </c>
      <c r="R113" t="e">
        <f t="shared" si="30"/>
        <v>#DIV/0!</v>
      </c>
      <c r="S113" t="e">
        <f t="shared" si="30"/>
        <v>#DIV/0!</v>
      </c>
    </row>
    <row r="114" spans="2:19" x14ac:dyDescent="0.35">
      <c r="B114">
        <f t="shared" ref="B114:S114" si="31">B81/B45</f>
        <v>4.5900821884605802</v>
      </c>
      <c r="C114">
        <f t="shared" si="31"/>
        <v>4.599401862822238</v>
      </c>
      <c r="D114">
        <f t="shared" si="31"/>
        <v>4.6673028027894663</v>
      </c>
      <c r="E114" t="e">
        <f t="shared" si="31"/>
        <v>#DIV/0!</v>
      </c>
      <c r="F114" t="e">
        <f t="shared" si="31"/>
        <v>#DIV/0!</v>
      </c>
      <c r="G114" t="e">
        <f t="shared" si="31"/>
        <v>#DIV/0!</v>
      </c>
      <c r="H114">
        <f t="shared" si="31"/>
        <v>31.118275146319554</v>
      </c>
      <c r="I114">
        <f t="shared" si="31"/>
        <v>26.304138229015091</v>
      </c>
      <c r="J114">
        <f t="shared" si="31"/>
        <v>31.118275146319551</v>
      </c>
      <c r="K114" t="e">
        <f t="shared" si="31"/>
        <v>#DIV/0!</v>
      </c>
      <c r="L114" t="e">
        <f t="shared" si="31"/>
        <v>#DIV/0!</v>
      </c>
      <c r="M114" t="e">
        <f t="shared" si="31"/>
        <v>#DIV/0!</v>
      </c>
      <c r="N114">
        <f t="shared" si="31"/>
        <v>151.84941902483288</v>
      </c>
      <c r="O114">
        <f t="shared" si="31"/>
        <v>130.78533452313908</v>
      </c>
      <c r="P114">
        <f t="shared" si="31"/>
        <v>151.84941902483288</v>
      </c>
      <c r="Q114" t="e">
        <f t="shared" si="31"/>
        <v>#DIV/0!</v>
      </c>
      <c r="R114" t="e">
        <f t="shared" si="31"/>
        <v>#DIV/0!</v>
      </c>
      <c r="S114" t="e">
        <f t="shared" si="31"/>
        <v>#DIV/0!</v>
      </c>
    </row>
    <row r="115" spans="2:19" x14ac:dyDescent="0.35">
      <c r="B115">
        <f t="shared" ref="B115:S115" si="32">B82/B46</f>
        <v>4.6177198522702838</v>
      </c>
      <c r="C115">
        <f t="shared" si="32"/>
        <v>4.622789655601939</v>
      </c>
      <c r="D115">
        <f t="shared" si="32"/>
        <v>4.6811595895456781</v>
      </c>
      <c r="E115" t="e">
        <f t="shared" si="32"/>
        <v>#DIV/0!</v>
      </c>
      <c r="F115" t="e">
        <f t="shared" si="32"/>
        <v>#DIV/0!</v>
      </c>
      <c r="G115" t="e">
        <f t="shared" si="32"/>
        <v>#DIV/0!</v>
      </c>
      <c r="H115">
        <f t="shared" si="32"/>
        <v>31.118275146319554</v>
      </c>
      <c r="I115">
        <f t="shared" si="32"/>
        <v>26.304138229015091</v>
      </c>
      <c r="J115">
        <f t="shared" si="32"/>
        <v>31.118275146319554</v>
      </c>
      <c r="K115" t="e">
        <f t="shared" si="32"/>
        <v>#DIV/0!</v>
      </c>
      <c r="L115" t="e">
        <f t="shared" si="32"/>
        <v>#DIV/0!</v>
      </c>
      <c r="M115" t="e">
        <f t="shared" si="32"/>
        <v>#DIV/0!</v>
      </c>
      <c r="N115">
        <f t="shared" si="32"/>
        <v>151.84941902483288</v>
      </c>
      <c r="O115">
        <f t="shared" si="32"/>
        <v>130.78533452313908</v>
      </c>
      <c r="P115">
        <f t="shared" si="32"/>
        <v>151.84941902483288</v>
      </c>
      <c r="Q115" t="e">
        <f t="shared" si="32"/>
        <v>#DIV/0!</v>
      </c>
      <c r="R115" t="e">
        <f t="shared" si="32"/>
        <v>#DIV/0!</v>
      </c>
      <c r="S115" t="e">
        <f t="shared" si="32"/>
        <v>#DIV/0!</v>
      </c>
    </row>
    <row r="116" spans="2:19" x14ac:dyDescent="0.35">
      <c r="B116">
        <f t="shared" ref="B116:S116" si="33">B83/B47</f>
        <v>4.6368942145404395</v>
      </c>
      <c r="C116">
        <f t="shared" si="33"/>
        <v>4.6448075118907175</v>
      </c>
      <c r="D116">
        <f t="shared" si="33"/>
        <v>4.6912290741164568</v>
      </c>
      <c r="E116" t="e">
        <f t="shared" si="33"/>
        <v>#DIV/0!</v>
      </c>
      <c r="F116" t="e">
        <f t="shared" si="33"/>
        <v>#DIV/0!</v>
      </c>
      <c r="G116" t="e">
        <f t="shared" si="33"/>
        <v>#DIV/0!</v>
      </c>
      <c r="H116">
        <f t="shared" si="33"/>
        <v>31.118275146319558</v>
      </c>
      <c r="I116">
        <f t="shared" si="33"/>
        <v>26.304138229015091</v>
      </c>
      <c r="J116">
        <f t="shared" si="33"/>
        <v>31.118275146319554</v>
      </c>
      <c r="K116" t="e">
        <f t="shared" si="33"/>
        <v>#DIV/0!</v>
      </c>
      <c r="L116" t="e">
        <f t="shared" si="33"/>
        <v>#DIV/0!</v>
      </c>
      <c r="M116" t="e">
        <f t="shared" si="33"/>
        <v>#DIV/0!</v>
      </c>
      <c r="N116">
        <f t="shared" si="33"/>
        <v>151.84941902483288</v>
      </c>
      <c r="O116">
        <f t="shared" si="33"/>
        <v>130.78533452313908</v>
      </c>
      <c r="P116">
        <f t="shared" si="33"/>
        <v>151.84941902483288</v>
      </c>
      <c r="Q116" t="e">
        <f t="shared" si="33"/>
        <v>#DIV/0!</v>
      </c>
      <c r="R116" t="e">
        <f t="shared" si="33"/>
        <v>#DIV/0!</v>
      </c>
      <c r="S116" t="e">
        <f t="shared" si="33"/>
        <v>#DIV/0!</v>
      </c>
    </row>
    <row r="117" spans="2:19" x14ac:dyDescent="0.35">
      <c r="B117">
        <f t="shared" ref="B117:S117" si="34">B84/B48</f>
        <v>4.6627123079455997</v>
      </c>
      <c r="C117">
        <f t="shared" si="34"/>
        <v>4.6666754627270075</v>
      </c>
      <c r="D117">
        <f t="shared" si="34"/>
        <v>4.7064431563722628</v>
      </c>
      <c r="E117" t="e">
        <f t="shared" si="34"/>
        <v>#DIV/0!</v>
      </c>
      <c r="F117" t="e">
        <f t="shared" si="34"/>
        <v>#DIV/0!</v>
      </c>
      <c r="G117" t="e">
        <f t="shared" si="34"/>
        <v>#DIV/0!</v>
      </c>
      <c r="H117">
        <f t="shared" si="34"/>
        <v>31.118275146319554</v>
      </c>
      <c r="I117">
        <f t="shared" si="34"/>
        <v>26.304138229015091</v>
      </c>
      <c r="J117">
        <f t="shared" si="34"/>
        <v>31.118275146319554</v>
      </c>
      <c r="K117" t="e">
        <f t="shared" si="34"/>
        <v>#DIV/0!</v>
      </c>
      <c r="L117" t="e">
        <f t="shared" si="34"/>
        <v>#DIV/0!</v>
      </c>
      <c r="M117" t="e">
        <f t="shared" si="34"/>
        <v>#DIV/0!</v>
      </c>
      <c r="N117">
        <f t="shared" si="34"/>
        <v>151.84941902483288</v>
      </c>
      <c r="O117">
        <f t="shared" si="34"/>
        <v>130.78533452313908</v>
      </c>
      <c r="P117">
        <f t="shared" si="34"/>
        <v>151.84941902483288</v>
      </c>
      <c r="Q117" t="e">
        <f t="shared" si="34"/>
        <v>#DIV/0!</v>
      </c>
      <c r="R117" t="e">
        <f t="shared" si="34"/>
        <v>#DIV/0!</v>
      </c>
      <c r="S117" t="e">
        <f t="shared" si="34"/>
        <v>#DIV/0!</v>
      </c>
    </row>
    <row r="118" spans="2:19" x14ac:dyDescent="0.35">
      <c r="B118">
        <f t="shared" ref="B118:S118" si="35">B85/B49</f>
        <v>4.6724876945160698</v>
      </c>
      <c r="C118">
        <f t="shared" si="35"/>
        <v>4.6922842019723392</v>
      </c>
      <c r="D118">
        <f t="shared" si="35"/>
        <v>4.7500364344062342</v>
      </c>
      <c r="E118" t="e">
        <f t="shared" si="35"/>
        <v>#DIV/0!</v>
      </c>
      <c r="F118" t="e">
        <f t="shared" si="35"/>
        <v>#DIV/0!</v>
      </c>
      <c r="G118" t="e">
        <f t="shared" si="35"/>
        <v>#DIV/0!</v>
      </c>
      <c r="H118">
        <f t="shared" si="35"/>
        <v>31.118275146319558</v>
      </c>
      <c r="I118">
        <f t="shared" si="35"/>
        <v>26.304138229015091</v>
      </c>
      <c r="J118">
        <f t="shared" si="35"/>
        <v>31.118275146319554</v>
      </c>
      <c r="K118" t="e">
        <f t="shared" si="35"/>
        <v>#DIV/0!</v>
      </c>
      <c r="L118" t="e">
        <f t="shared" si="35"/>
        <v>#DIV/0!</v>
      </c>
      <c r="M118" t="e">
        <f t="shared" si="35"/>
        <v>#DIV/0!</v>
      </c>
      <c r="N118">
        <f t="shared" si="35"/>
        <v>151.84941902483288</v>
      </c>
      <c r="O118">
        <f t="shared" si="35"/>
        <v>130.78533452313908</v>
      </c>
      <c r="P118">
        <f t="shared" si="35"/>
        <v>151.84941902483288</v>
      </c>
      <c r="Q118" t="e">
        <f t="shared" si="35"/>
        <v>#DIV/0!</v>
      </c>
      <c r="R118" t="e">
        <f t="shared" si="35"/>
        <v>#DIV/0!</v>
      </c>
      <c r="S118" t="e">
        <f t="shared" si="35"/>
        <v>#DIV/0!</v>
      </c>
    </row>
    <row r="119" spans="2:19" x14ac:dyDescent="0.35">
      <c r="B119">
        <f t="shared" ref="B119:S119" si="36">B86/B50</f>
        <v>4.6896066034880191</v>
      </c>
      <c r="C119">
        <f t="shared" si="36"/>
        <v>4.7081461140778309</v>
      </c>
      <c r="D119">
        <f t="shared" si="36"/>
        <v>4.7747165997301018</v>
      </c>
      <c r="E119" t="e">
        <f t="shared" si="36"/>
        <v>#DIV/0!</v>
      </c>
      <c r="F119" t="e">
        <f t="shared" si="36"/>
        <v>#DIV/0!</v>
      </c>
      <c r="G119" t="e">
        <f t="shared" si="36"/>
        <v>#DIV/0!</v>
      </c>
      <c r="H119">
        <f t="shared" si="36"/>
        <v>31.118275146319554</v>
      </c>
      <c r="I119">
        <f t="shared" si="36"/>
        <v>26.304138229015091</v>
      </c>
      <c r="J119">
        <f t="shared" si="36"/>
        <v>31.118275146319554</v>
      </c>
      <c r="K119" t="e">
        <f t="shared" si="36"/>
        <v>#DIV/0!</v>
      </c>
      <c r="L119" t="e">
        <f t="shared" si="36"/>
        <v>#DIV/0!</v>
      </c>
      <c r="M119" t="e">
        <f t="shared" si="36"/>
        <v>#DIV/0!</v>
      </c>
      <c r="N119">
        <f t="shared" si="36"/>
        <v>151.84941902483288</v>
      </c>
      <c r="O119">
        <f t="shared" si="36"/>
        <v>130.78533452313908</v>
      </c>
      <c r="P119">
        <f t="shared" si="36"/>
        <v>151.84941902483288</v>
      </c>
      <c r="Q119" t="e">
        <f t="shared" si="36"/>
        <v>#DIV/0!</v>
      </c>
      <c r="R119" t="e">
        <f t="shared" si="36"/>
        <v>#DIV/0!</v>
      </c>
      <c r="S119" t="e">
        <f t="shared" si="36"/>
        <v>#DIV/0!</v>
      </c>
    </row>
    <row r="120" spans="2:19" x14ac:dyDescent="0.35">
      <c r="B120">
        <f t="shared" ref="B120:S120" si="37">B87/B51</f>
        <v>4.6994964475923835</v>
      </c>
      <c r="C120">
        <f t="shared" si="37"/>
        <v>4.717716476431165</v>
      </c>
      <c r="D120">
        <f t="shared" si="37"/>
        <v>4.7670754783843856</v>
      </c>
      <c r="E120" t="e">
        <f t="shared" si="37"/>
        <v>#DIV/0!</v>
      </c>
      <c r="F120" t="e">
        <f t="shared" si="37"/>
        <v>#DIV/0!</v>
      </c>
      <c r="G120" t="e">
        <f t="shared" si="37"/>
        <v>#DIV/0!</v>
      </c>
      <c r="H120">
        <f t="shared" si="37"/>
        <v>31.118275146319554</v>
      </c>
      <c r="I120">
        <f t="shared" si="37"/>
        <v>26.304138229015095</v>
      </c>
      <c r="J120">
        <f t="shared" si="37"/>
        <v>31.118275146319554</v>
      </c>
      <c r="K120" t="e">
        <f t="shared" si="37"/>
        <v>#DIV/0!</v>
      </c>
      <c r="L120" t="e">
        <f t="shared" si="37"/>
        <v>#DIV/0!</v>
      </c>
      <c r="M120" t="e">
        <f t="shared" si="37"/>
        <v>#DIV/0!</v>
      </c>
      <c r="N120">
        <f t="shared" si="37"/>
        <v>151.84941902483288</v>
      </c>
      <c r="O120">
        <f t="shared" si="37"/>
        <v>130.78533452313908</v>
      </c>
      <c r="P120">
        <f t="shared" si="37"/>
        <v>151.84941902483288</v>
      </c>
      <c r="Q120" t="e">
        <f t="shared" si="37"/>
        <v>#DIV/0!</v>
      </c>
      <c r="R120" t="e">
        <f t="shared" si="37"/>
        <v>#DIV/0!</v>
      </c>
      <c r="S120" t="e">
        <f t="shared" si="37"/>
        <v>#DIV/0!</v>
      </c>
    </row>
    <row r="121" spans="2:19" x14ac:dyDescent="0.35">
      <c r="B121">
        <f t="shared" ref="B121:S121" si="38">B88/B52</f>
        <v>4.7065782174250259</v>
      </c>
      <c r="C121">
        <f t="shared" si="38"/>
        <v>4.7205907156305038</v>
      </c>
      <c r="D121">
        <f t="shared" si="38"/>
        <v>4.7488854405553145</v>
      </c>
      <c r="E121" t="e">
        <f t="shared" si="38"/>
        <v>#DIV/0!</v>
      </c>
      <c r="F121" t="e">
        <f t="shared" si="38"/>
        <v>#DIV/0!</v>
      </c>
      <c r="G121" t="e">
        <f t="shared" si="38"/>
        <v>#DIV/0!</v>
      </c>
      <c r="H121">
        <f t="shared" si="38"/>
        <v>31.118275146319554</v>
      </c>
      <c r="I121">
        <f t="shared" si="38"/>
        <v>26.304138229015091</v>
      </c>
      <c r="J121">
        <f t="shared" si="38"/>
        <v>31.118275146319554</v>
      </c>
      <c r="K121" t="e">
        <f t="shared" si="38"/>
        <v>#DIV/0!</v>
      </c>
      <c r="L121" t="e">
        <f t="shared" si="38"/>
        <v>#DIV/0!</v>
      </c>
      <c r="M121" t="e">
        <f t="shared" si="38"/>
        <v>#DIV/0!</v>
      </c>
      <c r="N121">
        <f t="shared" si="38"/>
        <v>151.84941902483288</v>
      </c>
      <c r="O121">
        <f t="shared" si="38"/>
        <v>130.78533452313908</v>
      </c>
      <c r="P121">
        <f t="shared" si="38"/>
        <v>151.84941902483291</v>
      </c>
      <c r="Q121" t="e">
        <f t="shared" si="38"/>
        <v>#DIV/0!</v>
      </c>
      <c r="R121" t="e">
        <f t="shared" si="38"/>
        <v>#DIV/0!</v>
      </c>
      <c r="S121" t="e">
        <f t="shared" si="38"/>
        <v>#DIV/0!</v>
      </c>
    </row>
    <row r="122" spans="2:19" x14ac:dyDescent="0.35">
      <c r="B122">
        <f t="shared" ref="B122:S122" si="39">B89/B53</f>
        <v>4.7154360034935507</v>
      </c>
      <c r="C122">
        <f t="shared" si="39"/>
        <v>4.7303964108525909</v>
      </c>
      <c r="D122">
        <f t="shared" si="39"/>
        <v>4.7485520305417506</v>
      </c>
      <c r="E122" t="e">
        <f t="shared" si="39"/>
        <v>#DIV/0!</v>
      </c>
      <c r="F122" t="e">
        <f t="shared" si="39"/>
        <v>#DIV/0!</v>
      </c>
      <c r="G122" t="e">
        <f t="shared" si="39"/>
        <v>#DIV/0!</v>
      </c>
      <c r="H122">
        <f t="shared" si="39"/>
        <v>31.118275146319554</v>
      </c>
      <c r="I122">
        <f t="shared" si="39"/>
        <v>26.304138229015091</v>
      </c>
      <c r="J122">
        <f t="shared" si="39"/>
        <v>31.118275146319554</v>
      </c>
      <c r="K122" t="e">
        <f t="shared" si="39"/>
        <v>#DIV/0!</v>
      </c>
      <c r="L122" t="e">
        <f t="shared" si="39"/>
        <v>#DIV/0!</v>
      </c>
      <c r="M122" t="e">
        <f t="shared" si="39"/>
        <v>#DIV/0!</v>
      </c>
      <c r="N122">
        <f t="shared" si="39"/>
        <v>151.84941902483288</v>
      </c>
      <c r="O122">
        <f t="shared" si="39"/>
        <v>130.78533452313908</v>
      </c>
      <c r="P122">
        <f t="shared" si="39"/>
        <v>151.84941902483288</v>
      </c>
      <c r="Q122" t="e">
        <f t="shared" si="39"/>
        <v>#DIV/0!</v>
      </c>
      <c r="R122" t="e">
        <f t="shared" si="39"/>
        <v>#DIV/0!</v>
      </c>
      <c r="S122" t="e">
        <f t="shared" si="39"/>
        <v>#DIV/0!</v>
      </c>
    </row>
    <row r="123" spans="2:19" x14ac:dyDescent="0.35">
      <c r="B123">
        <f t="shared" ref="B123:S123" si="40">B90/B54</f>
        <v>4.7236375800437909</v>
      </c>
      <c r="C123">
        <f t="shared" si="40"/>
        <v>4.7375711104845122</v>
      </c>
      <c r="D123">
        <f t="shared" si="40"/>
        <v>4.750993711785477</v>
      </c>
      <c r="E123" t="e">
        <f t="shared" si="40"/>
        <v>#DIV/0!</v>
      </c>
      <c r="F123" t="e">
        <f t="shared" si="40"/>
        <v>#DIV/0!</v>
      </c>
      <c r="G123" t="e">
        <f t="shared" si="40"/>
        <v>#DIV/0!</v>
      </c>
      <c r="H123">
        <f t="shared" si="40"/>
        <v>31.118275146319554</v>
      </c>
      <c r="I123">
        <f t="shared" si="40"/>
        <v>26.304138229015091</v>
      </c>
      <c r="J123">
        <f t="shared" si="40"/>
        <v>31.118275146319554</v>
      </c>
      <c r="K123" t="e">
        <f t="shared" si="40"/>
        <v>#DIV/0!</v>
      </c>
      <c r="L123" t="e">
        <f t="shared" si="40"/>
        <v>#DIV/0!</v>
      </c>
      <c r="M123" t="e">
        <f t="shared" si="40"/>
        <v>#DIV/0!</v>
      </c>
      <c r="N123">
        <f t="shared" si="40"/>
        <v>151.84941902483288</v>
      </c>
      <c r="O123">
        <f t="shared" si="40"/>
        <v>130.78533452313908</v>
      </c>
      <c r="P123">
        <f t="shared" si="40"/>
        <v>151.84941902483288</v>
      </c>
      <c r="Q123" t="e">
        <f t="shared" si="40"/>
        <v>#DIV/0!</v>
      </c>
      <c r="R123" t="e">
        <f t="shared" si="40"/>
        <v>#DIV/0!</v>
      </c>
      <c r="S123" t="e">
        <f t="shared" si="40"/>
        <v>#DIV/0!</v>
      </c>
    </row>
    <row r="124" spans="2:19" x14ac:dyDescent="0.35">
      <c r="B124">
        <f t="shared" ref="B124:S124" si="41">B91/B55</f>
        <v>4.7316584052333761</v>
      </c>
      <c r="C124">
        <f t="shared" si="41"/>
        <v>4.7458412197346895</v>
      </c>
      <c r="D124">
        <f t="shared" si="41"/>
        <v>4.7585285013381826</v>
      </c>
      <c r="E124" t="e">
        <f t="shared" si="41"/>
        <v>#DIV/0!</v>
      </c>
      <c r="F124" t="e">
        <f t="shared" si="41"/>
        <v>#DIV/0!</v>
      </c>
      <c r="G124" t="e">
        <f t="shared" si="41"/>
        <v>#DIV/0!</v>
      </c>
      <c r="H124">
        <f t="shared" si="41"/>
        <v>31.118275146319551</v>
      </c>
      <c r="I124">
        <f t="shared" si="41"/>
        <v>26.304138229015091</v>
      </c>
      <c r="J124">
        <f t="shared" si="41"/>
        <v>31.118275146319558</v>
      </c>
      <c r="K124" t="e">
        <f t="shared" si="41"/>
        <v>#DIV/0!</v>
      </c>
      <c r="L124" t="e">
        <f t="shared" si="41"/>
        <v>#DIV/0!</v>
      </c>
      <c r="M124" t="e">
        <f t="shared" si="41"/>
        <v>#DIV/0!</v>
      </c>
      <c r="N124">
        <f t="shared" si="41"/>
        <v>151.84941902483288</v>
      </c>
      <c r="O124">
        <f t="shared" si="41"/>
        <v>130.78533452313908</v>
      </c>
      <c r="P124">
        <f t="shared" si="41"/>
        <v>151.84941902483288</v>
      </c>
      <c r="Q124" t="e">
        <f t="shared" si="41"/>
        <v>#DIV/0!</v>
      </c>
      <c r="R124" t="e">
        <f t="shared" si="41"/>
        <v>#DIV/0!</v>
      </c>
      <c r="S124" t="e">
        <f t="shared" si="41"/>
        <v>#DIV/0!</v>
      </c>
    </row>
    <row r="125" spans="2:19" x14ac:dyDescent="0.35">
      <c r="B125">
        <f t="shared" ref="B125:S125" si="42">B92/B56</f>
        <v>4.7390207904580448</v>
      </c>
      <c r="C125">
        <f t="shared" si="42"/>
        <v>4.7532379023207962</v>
      </c>
      <c r="D125">
        <f t="shared" si="42"/>
        <v>4.7653779421063973</v>
      </c>
      <c r="E125" t="e">
        <f t="shared" si="42"/>
        <v>#DIV/0!</v>
      </c>
      <c r="F125" t="e">
        <f t="shared" si="42"/>
        <v>#DIV/0!</v>
      </c>
      <c r="G125" t="e">
        <f t="shared" si="42"/>
        <v>#DIV/0!</v>
      </c>
      <c r="H125">
        <f t="shared" si="42"/>
        <v>31.118275146319551</v>
      </c>
      <c r="I125">
        <f t="shared" si="42"/>
        <v>26.304138229015091</v>
      </c>
      <c r="J125">
        <f t="shared" si="42"/>
        <v>31.118275146319558</v>
      </c>
      <c r="K125" t="e">
        <f t="shared" si="42"/>
        <v>#DIV/0!</v>
      </c>
      <c r="L125" t="e">
        <f t="shared" si="42"/>
        <v>#DIV/0!</v>
      </c>
      <c r="M125" t="e">
        <f t="shared" si="42"/>
        <v>#DIV/0!</v>
      </c>
      <c r="N125">
        <f t="shared" si="42"/>
        <v>151.84941902483288</v>
      </c>
      <c r="O125">
        <f t="shared" si="42"/>
        <v>130.78533452313908</v>
      </c>
      <c r="P125">
        <f t="shared" si="42"/>
        <v>151.84941902483288</v>
      </c>
      <c r="Q125" t="e">
        <f t="shared" si="42"/>
        <v>#DIV/0!</v>
      </c>
      <c r="R125" t="e">
        <f t="shared" si="42"/>
        <v>#DIV/0!</v>
      </c>
      <c r="S125" t="e">
        <f t="shared" si="42"/>
        <v>#DIV/0!</v>
      </c>
    </row>
    <row r="126" spans="2:19" x14ac:dyDescent="0.35">
      <c r="B126">
        <f t="shared" ref="B126:S126" si="43">B93/B57</f>
        <v>4.7458621020103537</v>
      </c>
      <c r="C126">
        <f t="shared" si="43"/>
        <v>4.7605111761488041</v>
      </c>
      <c r="D126">
        <f t="shared" si="43"/>
        <v>4.7716726259721192</v>
      </c>
      <c r="E126" t="e">
        <f t="shared" si="43"/>
        <v>#DIV/0!</v>
      </c>
      <c r="F126" t="e">
        <f t="shared" si="43"/>
        <v>#DIV/0!</v>
      </c>
      <c r="G126" t="e">
        <f t="shared" si="43"/>
        <v>#DIV/0!</v>
      </c>
      <c r="H126">
        <f t="shared" si="43"/>
        <v>31.118275146319554</v>
      </c>
      <c r="I126">
        <f t="shared" si="43"/>
        <v>26.304138229015091</v>
      </c>
      <c r="J126">
        <f t="shared" si="43"/>
        <v>31.118275146319554</v>
      </c>
      <c r="K126" t="e">
        <f t="shared" si="43"/>
        <v>#DIV/0!</v>
      </c>
      <c r="L126" t="e">
        <f t="shared" si="43"/>
        <v>#DIV/0!</v>
      </c>
      <c r="M126" t="e">
        <f t="shared" si="43"/>
        <v>#DIV/0!</v>
      </c>
      <c r="N126">
        <f t="shared" si="43"/>
        <v>151.84941902483288</v>
      </c>
      <c r="O126">
        <f t="shared" si="43"/>
        <v>130.78533452313908</v>
      </c>
      <c r="P126">
        <f t="shared" si="43"/>
        <v>151.84941902483288</v>
      </c>
      <c r="Q126" t="e">
        <f t="shared" si="43"/>
        <v>#DIV/0!</v>
      </c>
      <c r="R126" t="e">
        <f t="shared" si="43"/>
        <v>#DIV/0!</v>
      </c>
      <c r="S126" t="e">
        <f t="shared" si="43"/>
        <v>#DIV/0!</v>
      </c>
    </row>
    <row r="127" spans="2:19" x14ac:dyDescent="0.35">
      <c r="B127">
        <f t="shared" ref="B127:S127" si="44">B94/B58</f>
        <v>4.7518670389654325</v>
      </c>
      <c r="C127">
        <f t="shared" si="44"/>
        <v>4.766528640033652</v>
      </c>
      <c r="D127">
        <f t="shared" si="44"/>
        <v>4.7771153023361803</v>
      </c>
      <c r="E127" t="e">
        <f t="shared" si="44"/>
        <v>#DIV/0!</v>
      </c>
      <c r="F127" t="e">
        <f t="shared" si="44"/>
        <v>#DIV/0!</v>
      </c>
      <c r="G127" t="e">
        <f t="shared" si="44"/>
        <v>#DIV/0!</v>
      </c>
      <c r="H127">
        <f t="shared" si="44"/>
        <v>31.118275146319551</v>
      </c>
      <c r="I127">
        <f t="shared" si="44"/>
        <v>26.304138229015091</v>
      </c>
      <c r="J127">
        <f t="shared" si="44"/>
        <v>31.118275146319554</v>
      </c>
      <c r="K127" t="e">
        <f t="shared" si="44"/>
        <v>#DIV/0!</v>
      </c>
      <c r="L127" t="e">
        <f t="shared" si="44"/>
        <v>#DIV/0!</v>
      </c>
      <c r="M127" t="e">
        <f t="shared" si="44"/>
        <v>#DIV/0!</v>
      </c>
      <c r="N127">
        <f t="shared" si="44"/>
        <v>151.84941902483288</v>
      </c>
      <c r="O127">
        <f t="shared" si="44"/>
        <v>130.78533452313908</v>
      </c>
      <c r="P127">
        <f t="shared" si="44"/>
        <v>151.84941902483288</v>
      </c>
      <c r="Q127" t="e">
        <f t="shared" si="44"/>
        <v>#DIV/0!</v>
      </c>
      <c r="R127" t="e">
        <f t="shared" si="44"/>
        <v>#DIV/0!</v>
      </c>
      <c r="S127" t="e">
        <f t="shared" si="44"/>
        <v>#DIV/0!</v>
      </c>
    </row>
    <row r="128" spans="2:19" x14ac:dyDescent="0.35">
      <c r="B128" t="e">
        <f t="shared" ref="B128:S128" si="45">B95/B59</f>
        <v>#DIV/0!</v>
      </c>
      <c r="C128">
        <f t="shared" si="45"/>
        <v>4.7728886226029763</v>
      </c>
      <c r="D128" t="e">
        <f t="shared" si="45"/>
        <v>#DIV/0!</v>
      </c>
      <c r="E128" t="e">
        <f t="shared" si="45"/>
        <v>#DIV/0!</v>
      </c>
      <c r="F128" t="e">
        <f t="shared" si="45"/>
        <v>#DIV/0!</v>
      </c>
      <c r="G128" t="e">
        <f t="shared" si="45"/>
        <v>#DIV/0!</v>
      </c>
      <c r="H128" t="e">
        <f t="shared" si="45"/>
        <v>#DIV/0!</v>
      </c>
      <c r="I128">
        <f t="shared" si="45"/>
        <v>26.304138229015091</v>
      </c>
      <c r="J128" t="e">
        <f t="shared" si="45"/>
        <v>#DIV/0!</v>
      </c>
      <c r="K128" t="e">
        <f t="shared" si="45"/>
        <v>#DIV/0!</v>
      </c>
      <c r="L128" t="e">
        <f t="shared" si="45"/>
        <v>#DIV/0!</v>
      </c>
      <c r="M128" t="e">
        <f t="shared" si="45"/>
        <v>#DIV/0!</v>
      </c>
      <c r="N128" t="e">
        <f t="shared" si="45"/>
        <v>#DIV/0!</v>
      </c>
      <c r="O128">
        <f t="shared" si="45"/>
        <v>130.78533452313908</v>
      </c>
      <c r="P128" t="e">
        <f t="shared" si="45"/>
        <v>#DIV/0!</v>
      </c>
      <c r="Q128" t="e">
        <f t="shared" si="45"/>
        <v>#DIV/0!</v>
      </c>
      <c r="R128" t="e">
        <f t="shared" si="45"/>
        <v>#DIV/0!</v>
      </c>
      <c r="S128" t="e">
        <f t="shared" si="45"/>
        <v>#DIV/0!</v>
      </c>
    </row>
    <row r="129" spans="2:19" x14ac:dyDescent="0.35">
      <c r="B129" t="e">
        <f t="shared" ref="B129:S129" si="46">B96/B60</f>
        <v>#DIV/0!</v>
      </c>
      <c r="C129" t="e">
        <f t="shared" si="46"/>
        <v>#DIV/0!</v>
      </c>
      <c r="D129" t="e">
        <f t="shared" si="46"/>
        <v>#DIV/0!</v>
      </c>
      <c r="E129" t="e">
        <f t="shared" si="46"/>
        <v>#DIV/0!</v>
      </c>
      <c r="F129" t="e">
        <f t="shared" si="46"/>
        <v>#DIV/0!</v>
      </c>
      <c r="G129" t="e">
        <f t="shared" si="46"/>
        <v>#DIV/0!</v>
      </c>
      <c r="H129" t="e">
        <f t="shared" si="46"/>
        <v>#DIV/0!</v>
      </c>
      <c r="I129" t="e">
        <f t="shared" si="46"/>
        <v>#DIV/0!</v>
      </c>
      <c r="J129" t="e">
        <f t="shared" si="46"/>
        <v>#DIV/0!</v>
      </c>
      <c r="K129" t="e">
        <f t="shared" si="46"/>
        <v>#DIV/0!</v>
      </c>
      <c r="L129" t="e">
        <f t="shared" si="46"/>
        <v>#DIV/0!</v>
      </c>
      <c r="M129" t="e">
        <f t="shared" si="46"/>
        <v>#DIV/0!</v>
      </c>
      <c r="N129" t="e">
        <f t="shared" si="46"/>
        <v>#DIV/0!</v>
      </c>
      <c r="O129" t="e">
        <f t="shared" si="46"/>
        <v>#DIV/0!</v>
      </c>
      <c r="P129" t="e">
        <f t="shared" si="46"/>
        <v>#DIV/0!</v>
      </c>
      <c r="Q129" t="e">
        <f t="shared" si="46"/>
        <v>#DIV/0!</v>
      </c>
      <c r="R129" t="e">
        <f t="shared" si="46"/>
        <v>#DIV/0!</v>
      </c>
      <c r="S129" t="e">
        <f t="shared" si="46"/>
        <v>#DIV/0!</v>
      </c>
    </row>
  </sheetData>
  <dataValidations count="1">
    <dataValidation type="list" allowBlank="1" showInputMessage="1" showErrorMessage="1" sqref="B3" xr:uid="{9500B978-788A-4EC0-A885-327DFCD49788}">
      <formula1>$B$27:$G$27</formula1>
    </dataValidation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0E29F-E1AE-46A6-A984-B31A9934F3F8}">
  <sheetPr>
    <tabColor theme="9" tint="0.79998168889431442"/>
  </sheetPr>
  <dimension ref="A1:BZ62"/>
  <sheetViews>
    <sheetView zoomScale="90" zoomScaleNormal="90" workbookViewId="0">
      <selection activeCell="F20" sqref="F20:I20"/>
    </sheetView>
  </sheetViews>
  <sheetFormatPr defaultRowHeight="14.5" x14ac:dyDescent="0.35"/>
  <cols>
    <col min="2" max="2" width="3.7265625" customWidth="1"/>
    <col min="3" max="3" width="9.7265625" bestFit="1" customWidth="1"/>
    <col min="6" max="11" width="9.26953125" customWidth="1"/>
    <col min="12" max="15" width="9.7265625" bestFit="1" customWidth="1"/>
    <col min="27" max="27" width="3.453125" customWidth="1"/>
    <col min="52" max="52" width="3.453125" customWidth="1"/>
    <col min="63" max="63" width="13.81640625" bestFit="1" customWidth="1"/>
  </cols>
  <sheetData>
    <row r="1" spans="1:76" s="98" customFormat="1" ht="24" customHeight="1" x14ac:dyDescent="0.6">
      <c r="A1" s="97"/>
      <c r="C1" s="528" t="s">
        <v>85</v>
      </c>
      <c r="D1" s="528"/>
      <c r="E1" s="528"/>
      <c r="F1" s="528"/>
      <c r="G1" s="528"/>
      <c r="H1" s="528"/>
      <c r="I1" s="528"/>
      <c r="J1" s="528"/>
      <c r="K1" s="528"/>
      <c r="L1" s="528"/>
      <c r="M1" s="528"/>
      <c r="N1" s="528"/>
      <c r="O1" s="528"/>
      <c r="P1" s="528"/>
      <c r="Q1" s="528"/>
      <c r="R1" s="528"/>
      <c r="S1" s="528"/>
      <c r="T1" s="528"/>
      <c r="U1" s="528"/>
      <c r="V1" s="528"/>
      <c r="W1" s="528"/>
      <c r="X1" s="528"/>
      <c r="Y1" s="528"/>
      <c r="Z1" s="528"/>
      <c r="AB1" s="528" t="s">
        <v>88</v>
      </c>
      <c r="AC1" s="528"/>
      <c r="AD1" s="528"/>
      <c r="AE1" s="528"/>
      <c r="AF1" s="528"/>
      <c r="AG1" s="528"/>
      <c r="AH1" s="528"/>
      <c r="AI1" s="528"/>
      <c r="AJ1" s="528"/>
      <c r="AK1" s="528"/>
      <c r="AL1" s="528"/>
      <c r="AM1" s="528"/>
      <c r="AN1" s="528"/>
      <c r="AO1" s="528"/>
      <c r="AP1" s="528"/>
      <c r="AQ1" s="528"/>
      <c r="AR1" s="528"/>
      <c r="AS1" s="528"/>
      <c r="AT1" s="528"/>
      <c r="AU1" s="528"/>
      <c r="AV1" s="528"/>
      <c r="AW1" s="528"/>
      <c r="AX1" s="528"/>
      <c r="AY1" s="528"/>
      <c r="BA1" s="528" t="s">
        <v>87</v>
      </c>
      <c r="BB1" s="528"/>
      <c r="BC1" s="528"/>
      <c r="BD1" s="528"/>
      <c r="BE1" s="528"/>
      <c r="BF1" s="528"/>
      <c r="BG1" s="528"/>
      <c r="BH1" s="528"/>
      <c r="BI1" s="528"/>
      <c r="BJ1" s="528"/>
      <c r="BK1" s="528"/>
      <c r="BL1" s="528"/>
      <c r="BM1" s="528"/>
      <c r="BN1" s="528"/>
      <c r="BO1" s="528"/>
      <c r="BP1" s="528"/>
      <c r="BQ1" s="528"/>
      <c r="BR1" s="528"/>
      <c r="BS1" s="528"/>
      <c r="BT1" s="528"/>
      <c r="BU1" s="528"/>
      <c r="BV1" s="528"/>
      <c r="BW1" s="528"/>
      <c r="BX1" s="528"/>
    </row>
    <row r="2" spans="1:76" x14ac:dyDescent="0.35">
      <c r="A2" s="99"/>
      <c r="C2" s="100">
        <v>0</v>
      </c>
      <c r="D2" s="100">
        <v>4.1666666666666664E-2</v>
      </c>
      <c r="E2" s="100">
        <v>8.3333333333333301E-2</v>
      </c>
      <c r="F2" s="100">
        <v>0.125</v>
      </c>
      <c r="G2" s="100">
        <v>0.16666666666666699</v>
      </c>
      <c r="H2" s="100">
        <v>0.20833333333333301</v>
      </c>
      <c r="I2" s="100">
        <v>0.25</v>
      </c>
      <c r="J2" s="100">
        <v>0.29166666666666702</v>
      </c>
      <c r="K2" s="100">
        <v>0.33333333333333298</v>
      </c>
      <c r="L2" s="100">
        <v>0.375</v>
      </c>
      <c r="M2" s="100">
        <v>0.41666666666666702</v>
      </c>
      <c r="N2" s="100">
        <v>0.45833333333333298</v>
      </c>
      <c r="O2" s="100">
        <v>0.5</v>
      </c>
      <c r="P2" s="100">
        <v>0.54166666666666696</v>
      </c>
      <c r="Q2" s="100">
        <v>0.58333333333333304</v>
      </c>
      <c r="R2" s="100">
        <v>0.625</v>
      </c>
      <c r="S2" s="100">
        <v>0.66666666666666696</v>
      </c>
      <c r="T2" s="100">
        <v>0.70833333333333304</v>
      </c>
      <c r="U2" s="100">
        <v>0.75</v>
      </c>
      <c r="V2" s="100">
        <v>0.79166666666666696</v>
      </c>
      <c r="W2" s="100">
        <v>0.83333333333333304</v>
      </c>
      <c r="X2" s="100">
        <v>0.875</v>
      </c>
      <c r="Y2" s="100">
        <v>0.91666666666666696</v>
      </c>
      <c r="Z2" s="100">
        <v>0.95833333333333304</v>
      </c>
      <c r="AB2" s="100">
        <v>0</v>
      </c>
      <c r="AC2" s="100">
        <v>4.1666666666666664E-2</v>
      </c>
      <c r="AD2" s="100">
        <v>8.3333333333333301E-2</v>
      </c>
      <c r="AE2" s="100">
        <v>0.125</v>
      </c>
      <c r="AF2" s="100">
        <v>0.16666666666666699</v>
      </c>
      <c r="AG2" s="100">
        <v>0.20833333333333301</v>
      </c>
      <c r="AH2" s="100">
        <v>0.25</v>
      </c>
      <c r="AI2" s="100">
        <v>0.29166666666666702</v>
      </c>
      <c r="AJ2" s="100">
        <v>0.33333333333333298</v>
      </c>
      <c r="AK2" s="100">
        <v>0.375</v>
      </c>
      <c r="AL2" s="100">
        <v>0.41666666666666702</v>
      </c>
      <c r="AM2" s="100">
        <v>0.45833333333333298</v>
      </c>
      <c r="AN2" s="100">
        <v>0.5</v>
      </c>
      <c r="AO2" s="100">
        <v>0.54166666666666696</v>
      </c>
      <c r="AP2" s="100">
        <v>0.58333333333333304</v>
      </c>
      <c r="AQ2" s="100">
        <v>0.625</v>
      </c>
      <c r="AR2" s="100">
        <v>0.66666666666666696</v>
      </c>
      <c r="AS2" s="100">
        <v>0.70833333333333304</v>
      </c>
      <c r="AT2" s="100">
        <v>0.75</v>
      </c>
      <c r="AU2" s="100">
        <v>0.79166666666666696</v>
      </c>
      <c r="AV2" s="100">
        <v>0.83333333333333304</v>
      </c>
      <c r="AW2" s="100">
        <v>0.875</v>
      </c>
      <c r="AX2" s="100">
        <v>0.91666666666666696</v>
      </c>
      <c r="AY2" s="100">
        <v>0.95833333333333304</v>
      </c>
      <c r="BA2" s="100">
        <v>0</v>
      </c>
      <c r="BB2" s="100">
        <v>4.1666666666666664E-2</v>
      </c>
      <c r="BC2" s="100">
        <v>8.3333333333333301E-2</v>
      </c>
      <c r="BD2" s="100">
        <v>0.125</v>
      </c>
      <c r="BE2" s="100">
        <v>0.16666666666666699</v>
      </c>
      <c r="BF2" s="100">
        <v>0.20833333333333301</v>
      </c>
      <c r="BG2" s="100">
        <v>0.25</v>
      </c>
      <c r="BH2" s="100">
        <v>0.29166666666666702</v>
      </c>
      <c r="BI2" s="100">
        <v>0.33333333333333298</v>
      </c>
      <c r="BJ2" s="100">
        <v>0.375</v>
      </c>
      <c r="BK2" s="100">
        <v>0.41666666666666702</v>
      </c>
      <c r="BL2" s="100">
        <v>0.45833333333333298</v>
      </c>
      <c r="BM2" s="100">
        <v>0.5</v>
      </c>
      <c r="BN2" s="100">
        <v>0.54166666666666696</v>
      </c>
      <c r="BO2" s="100">
        <v>0.58333333333333304</v>
      </c>
      <c r="BP2" s="100">
        <v>0.625</v>
      </c>
      <c r="BQ2" s="100">
        <v>0.66666666666666696</v>
      </c>
      <c r="BR2" s="100">
        <v>0.70833333333333304</v>
      </c>
      <c r="BS2" s="100">
        <v>0.75</v>
      </c>
      <c r="BT2" s="100">
        <v>0.79166666666666696</v>
      </c>
      <c r="BU2" s="100">
        <v>0.83333333333333304</v>
      </c>
      <c r="BV2" s="100">
        <v>0.875</v>
      </c>
      <c r="BW2" s="100">
        <v>0.91666666666666696</v>
      </c>
      <c r="BX2" s="100">
        <v>0.95833333333333304</v>
      </c>
    </row>
    <row r="3" spans="1:76" x14ac:dyDescent="0.35">
      <c r="A3" s="101" t="s">
        <v>166</v>
      </c>
      <c r="C3" s="102">
        <v>4.1666666666666664E-2</v>
      </c>
      <c r="D3" s="102">
        <v>8.3333333333333301E-2</v>
      </c>
      <c r="E3" s="102">
        <v>0.125</v>
      </c>
      <c r="F3" s="102">
        <v>0.16666666666666699</v>
      </c>
      <c r="G3" s="102">
        <v>0.20833333333333301</v>
      </c>
      <c r="H3" s="102">
        <v>0.25</v>
      </c>
      <c r="I3" s="102">
        <v>0.29166666666666702</v>
      </c>
      <c r="J3" s="102">
        <v>0.33333333333333298</v>
      </c>
      <c r="K3" s="102">
        <v>0.375</v>
      </c>
      <c r="L3" s="102">
        <v>0.41666666666666702</v>
      </c>
      <c r="M3" s="102">
        <v>0.45833333333333298</v>
      </c>
      <c r="N3" s="102">
        <v>0.5</v>
      </c>
      <c r="O3" s="102">
        <v>0.54166666666666696</v>
      </c>
      <c r="P3" s="102">
        <v>0.58333333333333304</v>
      </c>
      <c r="Q3" s="102">
        <v>0.625</v>
      </c>
      <c r="R3" s="102">
        <v>0.66666666666666696</v>
      </c>
      <c r="S3" s="102">
        <v>0.70833333333333304</v>
      </c>
      <c r="T3" s="102">
        <v>0.75</v>
      </c>
      <c r="U3" s="102">
        <v>0.79166666666666696</v>
      </c>
      <c r="V3" s="102">
        <v>0.83333333333333304</v>
      </c>
      <c r="W3" s="102">
        <v>0.875</v>
      </c>
      <c r="X3" s="102">
        <v>0.91666666666666696</v>
      </c>
      <c r="Y3" s="102">
        <v>0.95833333333333304</v>
      </c>
      <c r="Z3" s="102">
        <v>0</v>
      </c>
      <c r="AB3" s="102">
        <v>4.1666666666666664E-2</v>
      </c>
      <c r="AC3" s="102">
        <v>8.3333333333333301E-2</v>
      </c>
      <c r="AD3" s="102">
        <v>0.125</v>
      </c>
      <c r="AE3" s="102">
        <v>0.16666666666666699</v>
      </c>
      <c r="AF3" s="102">
        <v>0.20833333333333301</v>
      </c>
      <c r="AG3" s="102">
        <v>0.25</v>
      </c>
      <c r="AH3" s="102">
        <v>0.29166666666666702</v>
      </c>
      <c r="AI3" s="102">
        <v>0.33333333333333298</v>
      </c>
      <c r="AJ3" s="102">
        <v>0.375</v>
      </c>
      <c r="AK3" s="102">
        <v>0.41666666666666702</v>
      </c>
      <c r="AL3" s="102">
        <v>0.45833333333333298</v>
      </c>
      <c r="AM3" s="102">
        <v>0.5</v>
      </c>
      <c r="AN3" s="102">
        <v>0.54166666666666696</v>
      </c>
      <c r="AO3" s="102">
        <v>0.58333333333333304</v>
      </c>
      <c r="AP3" s="102">
        <v>0.625</v>
      </c>
      <c r="AQ3" s="102">
        <v>0.66666666666666696</v>
      </c>
      <c r="AR3" s="102">
        <v>0.70833333333333304</v>
      </c>
      <c r="AS3" s="102">
        <v>0.75</v>
      </c>
      <c r="AT3" s="102">
        <v>0.79166666666666696</v>
      </c>
      <c r="AU3" s="102">
        <v>0.83333333333333304</v>
      </c>
      <c r="AV3" s="102">
        <v>0.875</v>
      </c>
      <c r="AW3" s="102">
        <v>0.91666666666666696</v>
      </c>
      <c r="AX3" s="102">
        <v>0.95833333333333304</v>
      </c>
      <c r="AY3" s="102">
        <v>0</v>
      </c>
      <c r="BA3" s="102">
        <v>4.1666666666666664E-2</v>
      </c>
      <c r="BB3" s="102">
        <v>8.3333333333333301E-2</v>
      </c>
      <c r="BC3" s="102">
        <v>0.125</v>
      </c>
      <c r="BD3" s="102">
        <v>0.16666666666666699</v>
      </c>
      <c r="BE3" s="102">
        <v>0.20833333333333301</v>
      </c>
      <c r="BF3" s="102">
        <v>0.25</v>
      </c>
      <c r="BG3" s="102">
        <v>0.29166666666666702</v>
      </c>
      <c r="BH3" s="102">
        <v>0.33333333333333298</v>
      </c>
      <c r="BI3" s="102">
        <v>0.375</v>
      </c>
      <c r="BJ3" s="102">
        <v>0.41666666666666702</v>
      </c>
      <c r="BK3" s="102">
        <v>0.45833333333333298</v>
      </c>
      <c r="BL3" s="102">
        <v>0.5</v>
      </c>
      <c r="BM3" s="102">
        <v>0.54166666666666696</v>
      </c>
      <c r="BN3" s="102">
        <v>0.58333333333333304</v>
      </c>
      <c r="BO3" s="102">
        <v>0.625</v>
      </c>
      <c r="BP3" s="102">
        <v>0.66666666666666696</v>
      </c>
      <c r="BQ3" s="102">
        <v>0.70833333333333304</v>
      </c>
      <c r="BR3" s="102">
        <v>0.75</v>
      </c>
      <c r="BS3" s="102">
        <v>0.79166666666666696</v>
      </c>
      <c r="BT3" s="102">
        <v>0.83333333333333304</v>
      </c>
      <c r="BU3" s="102">
        <v>0.875</v>
      </c>
      <c r="BV3" s="102">
        <v>0.91666666666666696</v>
      </c>
      <c r="BW3" s="102">
        <v>0.95833333333333304</v>
      </c>
      <c r="BX3" s="102">
        <v>0</v>
      </c>
    </row>
    <row r="4" spans="1:76" x14ac:dyDescent="0.35">
      <c r="A4" s="103"/>
    </row>
    <row r="5" spans="1:76" ht="15" thickBot="1" x14ac:dyDescent="0.4">
      <c r="A5" s="103"/>
      <c r="C5" s="3">
        <v>0</v>
      </c>
      <c r="D5" s="3">
        <v>1</v>
      </c>
      <c r="E5" s="3">
        <v>2</v>
      </c>
      <c r="F5" s="3">
        <v>3</v>
      </c>
      <c r="G5" s="3">
        <v>4</v>
      </c>
      <c r="H5" s="3">
        <v>5</v>
      </c>
      <c r="I5" s="3">
        <v>6</v>
      </c>
      <c r="J5" s="3">
        <v>7</v>
      </c>
      <c r="K5" s="3">
        <v>8</v>
      </c>
      <c r="L5" s="3">
        <v>9</v>
      </c>
      <c r="M5" s="3">
        <v>10</v>
      </c>
      <c r="N5" s="3">
        <v>11</v>
      </c>
      <c r="O5" s="3">
        <v>12</v>
      </c>
      <c r="P5" s="3">
        <v>13</v>
      </c>
      <c r="Q5" s="3">
        <v>14</v>
      </c>
      <c r="R5" s="3">
        <v>15</v>
      </c>
      <c r="S5" s="3">
        <v>16</v>
      </c>
      <c r="T5" s="3">
        <v>17</v>
      </c>
      <c r="U5" s="3">
        <v>18</v>
      </c>
      <c r="V5" s="3">
        <v>19</v>
      </c>
      <c r="W5" s="3">
        <v>20</v>
      </c>
      <c r="X5" s="3">
        <v>21</v>
      </c>
      <c r="Y5" s="3">
        <v>22</v>
      </c>
      <c r="Z5" s="3">
        <v>23</v>
      </c>
      <c r="AB5" s="3">
        <v>0</v>
      </c>
      <c r="AC5" s="3">
        <v>1</v>
      </c>
      <c r="AD5" s="3">
        <v>2</v>
      </c>
      <c r="AE5" s="3">
        <v>3</v>
      </c>
      <c r="AF5" s="3">
        <v>4</v>
      </c>
      <c r="AG5" s="3">
        <v>5</v>
      </c>
      <c r="AH5" s="3">
        <v>6</v>
      </c>
      <c r="AI5" s="3">
        <v>7</v>
      </c>
      <c r="AJ5" s="3">
        <v>8</v>
      </c>
      <c r="AK5" s="3">
        <v>9</v>
      </c>
      <c r="AL5" s="3">
        <v>10</v>
      </c>
      <c r="AM5" s="3">
        <v>11</v>
      </c>
      <c r="AN5" s="3">
        <v>12</v>
      </c>
      <c r="AO5" s="3">
        <v>13</v>
      </c>
      <c r="AP5" s="3">
        <v>14</v>
      </c>
      <c r="AQ5" s="3">
        <v>15</v>
      </c>
      <c r="AR5" s="3">
        <v>16</v>
      </c>
      <c r="AS5" s="3">
        <v>17</v>
      </c>
      <c r="AT5" s="3">
        <v>18</v>
      </c>
      <c r="AU5" s="3">
        <v>19</v>
      </c>
      <c r="AV5" s="3">
        <v>20</v>
      </c>
      <c r="AW5" s="3">
        <v>21</v>
      </c>
      <c r="AX5" s="3">
        <v>22</v>
      </c>
      <c r="AY5" s="3">
        <v>23</v>
      </c>
      <c r="BA5" s="3">
        <v>0</v>
      </c>
      <c r="BB5" s="3">
        <v>1</v>
      </c>
      <c r="BC5" s="3">
        <v>2</v>
      </c>
      <c r="BD5" s="3">
        <v>3</v>
      </c>
      <c r="BE5" s="3">
        <v>4</v>
      </c>
      <c r="BF5" s="3">
        <v>5</v>
      </c>
      <c r="BG5" s="3">
        <v>6</v>
      </c>
      <c r="BH5" s="3">
        <v>7</v>
      </c>
      <c r="BI5" s="3">
        <v>8</v>
      </c>
      <c r="BJ5" s="3">
        <v>9</v>
      </c>
      <c r="BK5" s="3">
        <v>10</v>
      </c>
      <c r="BL5" s="3">
        <v>11</v>
      </c>
      <c r="BM5" s="3">
        <v>12</v>
      </c>
      <c r="BN5" s="3">
        <v>13</v>
      </c>
      <c r="BO5" s="3">
        <v>14</v>
      </c>
      <c r="BP5" s="3">
        <v>15</v>
      </c>
      <c r="BQ5" s="3">
        <v>16</v>
      </c>
      <c r="BR5" s="3">
        <v>17</v>
      </c>
      <c r="BS5" s="3">
        <v>18</v>
      </c>
      <c r="BT5" s="3">
        <v>19</v>
      </c>
      <c r="BU5" s="3">
        <v>20</v>
      </c>
      <c r="BV5" s="3">
        <v>21</v>
      </c>
      <c r="BW5" s="3">
        <v>22</v>
      </c>
      <c r="BX5" s="3">
        <v>23</v>
      </c>
    </row>
    <row r="6" spans="1:76" x14ac:dyDescent="0.35">
      <c r="A6" s="104">
        <v>1</v>
      </c>
      <c r="C6" s="105">
        <f>C36</f>
        <v>7.0414510565280156E-2</v>
      </c>
      <c r="D6" s="105">
        <f t="shared" ref="D6:Z17" si="0">D36</f>
        <v>6.078960122234188E-2</v>
      </c>
      <c r="E6" s="105">
        <f t="shared" si="0"/>
        <v>5.0319335199381289E-2</v>
      </c>
      <c r="F6" s="105">
        <f t="shared" si="0"/>
        <v>4.064274713398569E-2</v>
      </c>
      <c r="G6" s="105">
        <f t="shared" si="0"/>
        <v>3.4562604924877317E-2</v>
      </c>
      <c r="H6" s="105">
        <f t="shared" si="0"/>
        <v>3.1471923902187643E-2</v>
      </c>
      <c r="I6" s="105">
        <f t="shared" si="0"/>
        <v>3.1298940345538338E-2</v>
      </c>
      <c r="J6" s="105">
        <f t="shared" si="0"/>
        <v>2.950007360491582E-2</v>
      </c>
      <c r="K6" s="105">
        <f t="shared" si="0"/>
        <v>2.4218196280416642E-2</v>
      </c>
      <c r="L6" s="105">
        <f t="shared" si="0"/>
        <v>2.0866359315726075E-2</v>
      </c>
      <c r="M6" s="105">
        <f t="shared" si="0"/>
        <v>1.9777960529124946E-2</v>
      </c>
      <c r="N6" s="105">
        <f t="shared" si="0"/>
        <v>1.9722119837646476E-2</v>
      </c>
      <c r="O6" s="105">
        <f t="shared" si="0"/>
        <v>1.9833522190773119E-2</v>
      </c>
      <c r="P6" s="106">
        <f t="shared" si="0"/>
        <v>1.8524061514258755E-2</v>
      </c>
      <c r="Q6" s="107">
        <f t="shared" si="0"/>
        <v>2.1560840408822064E-2</v>
      </c>
      <c r="R6" s="106">
        <f t="shared" si="0"/>
        <v>2.5349892500479875E-2</v>
      </c>
      <c r="S6" s="108">
        <f t="shared" si="0"/>
        <v>3.220850557924964E-2</v>
      </c>
      <c r="T6" s="108">
        <f t="shared" si="0"/>
        <v>4.0029551088423834E-2</v>
      </c>
      <c r="U6" s="107">
        <f t="shared" si="0"/>
        <v>4.2790398853416088E-2</v>
      </c>
      <c r="V6" s="105">
        <f t="shared" si="0"/>
        <v>4.3969482029171496E-2</v>
      </c>
      <c r="W6" s="105">
        <f t="shared" si="0"/>
        <v>6.854611938713899E-2</v>
      </c>
      <c r="X6" s="105">
        <f t="shared" si="0"/>
        <v>8.7328044767899404E-2</v>
      </c>
      <c r="Y6" s="105">
        <f t="shared" si="0"/>
        <v>8.6540267124225051E-2</v>
      </c>
      <c r="Z6" s="105">
        <f t="shared" si="0"/>
        <v>7.9734941694719341E-2</v>
      </c>
      <c r="AB6" s="105">
        <f>AB36</f>
        <v>1.9306522364691554E-2</v>
      </c>
      <c r="AC6" s="105">
        <f t="shared" ref="AC6:AY17" si="1">AC36</f>
        <v>1.5361973016229002E-2</v>
      </c>
      <c r="AD6" s="105">
        <f t="shared" si="1"/>
        <v>1.1535347873848828E-2</v>
      </c>
      <c r="AE6" s="105">
        <f t="shared" si="1"/>
        <v>9.0337890224524153E-3</v>
      </c>
      <c r="AF6" s="105">
        <f t="shared" si="1"/>
        <v>7.6838570591548543E-3</v>
      </c>
      <c r="AG6" s="105">
        <f t="shared" si="1"/>
        <v>1.0553666195789662E-2</v>
      </c>
      <c r="AH6" s="105">
        <f t="shared" si="1"/>
        <v>1.836712195734222E-2</v>
      </c>
      <c r="AI6" s="105">
        <f t="shared" si="1"/>
        <v>2.901461845430172E-2</v>
      </c>
      <c r="AJ6" s="105">
        <f t="shared" si="1"/>
        <v>4.6059509629829291E-2</v>
      </c>
      <c r="AK6" s="105">
        <f t="shared" si="1"/>
        <v>5.4743835979438459E-2</v>
      </c>
      <c r="AL6" s="105">
        <f t="shared" si="1"/>
        <v>6.3298799472509451E-2</v>
      </c>
      <c r="AM6" s="105">
        <f t="shared" si="1"/>
        <v>6.4734956656348569E-2</v>
      </c>
      <c r="AN6" s="105">
        <f t="shared" si="1"/>
        <v>6.7846370351886426E-2</v>
      </c>
      <c r="AO6" s="109">
        <f t="shared" si="1"/>
        <v>6.9722833791339728E-2</v>
      </c>
      <c r="AP6" s="106">
        <f t="shared" si="1"/>
        <v>6.9193274460257317E-2</v>
      </c>
      <c r="AQ6" s="108">
        <f t="shared" si="1"/>
        <v>6.5503570187693275E-2</v>
      </c>
      <c r="AR6" s="108">
        <f t="shared" si="1"/>
        <v>6.2943660791461783E-2</v>
      </c>
      <c r="AS6" s="108">
        <f t="shared" si="1"/>
        <v>5.8423851255049078E-2</v>
      </c>
      <c r="AT6" s="108">
        <f t="shared" si="1"/>
        <v>5.9459757092460964E-2</v>
      </c>
      <c r="AU6" s="108">
        <f t="shared" si="1"/>
        <v>5.5664370726784415E-2</v>
      </c>
      <c r="AV6" s="108">
        <f t="shared" si="1"/>
        <v>4.6824760303983248E-2</v>
      </c>
      <c r="AW6" s="107">
        <f t="shared" si="1"/>
        <v>3.9120484309908561E-2</v>
      </c>
      <c r="AX6" s="105">
        <f t="shared" si="1"/>
        <v>3.047060474135983E-2</v>
      </c>
      <c r="AY6" s="105">
        <f t="shared" si="1"/>
        <v>2.5132464305879443E-2</v>
      </c>
      <c r="BA6" s="105">
        <f>BA36</f>
        <v>1.3307233296629839E-2</v>
      </c>
      <c r="BB6" s="105">
        <f t="shared" ref="BB6:BX17" si="2">BB36</f>
        <v>1.5074921919903653E-2</v>
      </c>
      <c r="BC6" s="105">
        <f t="shared" si="2"/>
        <v>1.1922275447676149E-2</v>
      </c>
      <c r="BD6" s="105">
        <f t="shared" si="2"/>
        <v>8.9052862769829627E-3</v>
      </c>
      <c r="BE6" s="105">
        <f t="shared" si="2"/>
        <v>9.37387327413239E-3</v>
      </c>
      <c r="BF6" s="105">
        <f t="shared" si="2"/>
        <v>1.8969054349847442E-2</v>
      </c>
      <c r="BG6" s="105">
        <f t="shared" si="2"/>
        <v>4.6185067237219629E-2</v>
      </c>
      <c r="BH6" s="105">
        <f t="shared" si="2"/>
        <v>7.8139393739055749E-2</v>
      </c>
      <c r="BI6" s="105">
        <f t="shared" si="2"/>
        <v>0.10568969100726372</v>
      </c>
      <c r="BJ6" s="105">
        <f t="shared" si="2"/>
        <v>0.10381140280312412</v>
      </c>
      <c r="BK6" s="105">
        <f t="shared" si="2"/>
        <v>9.6355184706183053E-2</v>
      </c>
      <c r="BL6" s="105">
        <f t="shared" si="2"/>
        <v>8.3741362357512283E-2</v>
      </c>
      <c r="BM6" s="105">
        <f t="shared" si="2"/>
        <v>7.0109289707959585E-2</v>
      </c>
      <c r="BN6" s="106">
        <f t="shared" si="2"/>
        <v>5.8855742528801692E-2</v>
      </c>
      <c r="BO6" s="107">
        <f t="shared" si="2"/>
        <v>5.0689609005552895E-2</v>
      </c>
      <c r="BP6" s="106">
        <f t="shared" si="2"/>
        <v>4.3367107773942093E-2</v>
      </c>
      <c r="BQ6" s="108">
        <f t="shared" si="2"/>
        <v>3.7076083267582882E-2</v>
      </c>
      <c r="BR6" s="108">
        <f t="shared" si="2"/>
        <v>3.1845928333764227E-2</v>
      </c>
      <c r="BS6" s="107">
        <f t="shared" si="2"/>
        <v>3.0485013397645023E-2</v>
      </c>
      <c r="BT6" s="106">
        <f t="shared" si="2"/>
        <v>2.7289267527151013E-2</v>
      </c>
      <c r="BU6" s="107">
        <f t="shared" si="2"/>
        <v>2.1517739414059305E-2</v>
      </c>
      <c r="BV6" s="105">
        <f t="shared" si="2"/>
        <v>1.5747112858434817E-2</v>
      </c>
      <c r="BW6" s="105">
        <f t="shared" si="2"/>
        <v>1.1509946876637067E-2</v>
      </c>
      <c r="BX6" s="105">
        <f t="shared" si="2"/>
        <v>1.0032412892938327E-2</v>
      </c>
    </row>
    <row r="7" spans="1:76" x14ac:dyDescent="0.35">
      <c r="A7" s="104">
        <v>2</v>
      </c>
      <c r="C7" s="105">
        <f t="shared" ref="C7:R17" si="3">C37</f>
        <v>7.0414510565280156E-2</v>
      </c>
      <c r="D7" s="105">
        <f t="shared" si="3"/>
        <v>6.078960122234188E-2</v>
      </c>
      <c r="E7" s="105">
        <f t="shared" si="3"/>
        <v>5.0319335199381289E-2</v>
      </c>
      <c r="F7" s="105">
        <f t="shared" si="3"/>
        <v>4.064274713398569E-2</v>
      </c>
      <c r="G7" s="105">
        <f t="shared" si="3"/>
        <v>3.4562604924877317E-2</v>
      </c>
      <c r="H7" s="105">
        <f t="shared" si="3"/>
        <v>3.1471923902187643E-2</v>
      </c>
      <c r="I7" s="105">
        <f t="shared" si="3"/>
        <v>3.1298940345538338E-2</v>
      </c>
      <c r="J7" s="105">
        <f t="shared" si="3"/>
        <v>2.950007360491582E-2</v>
      </c>
      <c r="K7" s="105">
        <f t="shared" si="3"/>
        <v>2.4218196280416642E-2</v>
      </c>
      <c r="L7" s="105">
        <f t="shared" si="3"/>
        <v>2.0866359315726075E-2</v>
      </c>
      <c r="M7" s="105">
        <f t="shared" si="3"/>
        <v>1.9777960529124946E-2</v>
      </c>
      <c r="N7" s="105">
        <f t="shared" si="3"/>
        <v>1.9722119837646476E-2</v>
      </c>
      <c r="O7" s="105">
        <f t="shared" si="3"/>
        <v>1.9833522190773119E-2</v>
      </c>
      <c r="P7" s="110">
        <f t="shared" si="3"/>
        <v>1.8524061514258755E-2</v>
      </c>
      <c r="Q7" s="111">
        <f t="shared" si="3"/>
        <v>2.1560840408822064E-2</v>
      </c>
      <c r="R7" s="110">
        <f t="shared" si="3"/>
        <v>2.5349892500479875E-2</v>
      </c>
      <c r="S7" s="109">
        <f t="shared" si="0"/>
        <v>3.220850557924964E-2</v>
      </c>
      <c r="T7" s="109">
        <f t="shared" si="0"/>
        <v>4.0029551088423834E-2</v>
      </c>
      <c r="U7" s="111">
        <f t="shared" si="0"/>
        <v>4.2790398853416088E-2</v>
      </c>
      <c r="V7" s="105">
        <f t="shared" si="0"/>
        <v>4.3969482029171496E-2</v>
      </c>
      <c r="W7" s="105">
        <f t="shared" si="0"/>
        <v>6.854611938713899E-2</v>
      </c>
      <c r="X7" s="105">
        <f t="shared" si="0"/>
        <v>8.7328044767899404E-2</v>
      </c>
      <c r="Y7" s="105">
        <f t="shared" si="0"/>
        <v>8.6540267124225051E-2</v>
      </c>
      <c r="Z7" s="105">
        <f t="shared" si="0"/>
        <v>7.9734941694719341E-2</v>
      </c>
      <c r="AB7" s="105">
        <f t="shared" ref="AB7:AQ17" si="4">AB37</f>
        <v>1.9306522364691554E-2</v>
      </c>
      <c r="AC7" s="105">
        <f t="shared" si="4"/>
        <v>1.5361973016229002E-2</v>
      </c>
      <c r="AD7" s="105">
        <f t="shared" si="4"/>
        <v>1.1535347873848828E-2</v>
      </c>
      <c r="AE7" s="105">
        <f t="shared" si="4"/>
        <v>9.0337890224524153E-3</v>
      </c>
      <c r="AF7" s="105">
        <f t="shared" si="4"/>
        <v>7.6838570591548543E-3</v>
      </c>
      <c r="AG7" s="105">
        <f t="shared" si="4"/>
        <v>1.0553666195789662E-2</v>
      </c>
      <c r="AH7" s="105">
        <f t="shared" si="4"/>
        <v>1.836712195734222E-2</v>
      </c>
      <c r="AI7" s="105">
        <f t="shared" si="4"/>
        <v>2.901461845430172E-2</v>
      </c>
      <c r="AJ7" s="105">
        <f t="shared" si="4"/>
        <v>4.6059509629829291E-2</v>
      </c>
      <c r="AK7" s="105">
        <f t="shared" si="4"/>
        <v>5.4743835979438459E-2</v>
      </c>
      <c r="AL7" s="105">
        <f t="shared" si="4"/>
        <v>6.3298799472509451E-2</v>
      </c>
      <c r="AM7" s="105">
        <f t="shared" si="4"/>
        <v>6.4734956656348569E-2</v>
      </c>
      <c r="AN7" s="105">
        <f t="shared" si="4"/>
        <v>6.7846370351886426E-2</v>
      </c>
      <c r="AO7" s="109">
        <f t="shared" si="4"/>
        <v>6.9722833791339728E-2</v>
      </c>
      <c r="AP7" s="110">
        <f t="shared" si="4"/>
        <v>6.9193274460257317E-2</v>
      </c>
      <c r="AQ7" s="109">
        <f t="shared" si="4"/>
        <v>6.5503570187693275E-2</v>
      </c>
      <c r="AR7" s="109">
        <f t="shared" si="1"/>
        <v>6.2943660791461783E-2</v>
      </c>
      <c r="AS7" s="109">
        <f t="shared" si="1"/>
        <v>5.8423851255049078E-2</v>
      </c>
      <c r="AT7" s="109">
        <f t="shared" si="1"/>
        <v>5.9459757092460964E-2</v>
      </c>
      <c r="AU7" s="109">
        <f t="shared" si="1"/>
        <v>5.5664370726784415E-2</v>
      </c>
      <c r="AV7" s="109">
        <f t="shared" si="1"/>
        <v>4.6824760303983248E-2</v>
      </c>
      <c r="AW7" s="111">
        <f t="shared" si="1"/>
        <v>3.9120484309908561E-2</v>
      </c>
      <c r="AX7" s="105">
        <f t="shared" si="1"/>
        <v>3.047060474135983E-2</v>
      </c>
      <c r="AY7" s="105">
        <f t="shared" si="1"/>
        <v>2.5132464305879443E-2</v>
      </c>
      <c r="BA7" s="105">
        <f t="shared" ref="BA7:BP17" si="5">BA37</f>
        <v>1.3307233296629839E-2</v>
      </c>
      <c r="BB7" s="105">
        <f t="shared" si="5"/>
        <v>1.5074921919903653E-2</v>
      </c>
      <c r="BC7" s="105">
        <f t="shared" si="5"/>
        <v>1.1922275447676149E-2</v>
      </c>
      <c r="BD7" s="105">
        <f t="shared" si="5"/>
        <v>8.9052862769829627E-3</v>
      </c>
      <c r="BE7" s="105">
        <f t="shared" si="5"/>
        <v>9.37387327413239E-3</v>
      </c>
      <c r="BF7" s="105">
        <f t="shared" si="5"/>
        <v>1.8969054349847442E-2</v>
      </c>
      <c r="BG7" s="105">
        <f t="shared" si="5"/>
        <v>4.6185067237219629E-2</v>
      </c>
      <c r="BH7" s="105">
        <f t="shared" si="5"/>
        <v>7.8139393739055749E-2</v>
      </c>
      <c r="BI7" s="105">
        <f t="shared" si="5"/>
        <v>0.10568969100726372</v>
      </c>
      <c r="BJ7" s="105">
        <f t="shared" si="5"/>
        <v>0.10381140280312412</v>
      </c>
      <c r="BK7" s="105">
        <f t="shared" si="5"/>
        <v>9.6355184706183053E-2</v>
      </c>
      <c r="BL7" s="105">
        <f t="shared" si="5"/>
        <v>8.3741362357512283E-2</v>
      </c>
      <c r="BM7" s="105">
        <f t="shared" si="5"/>
        <v>7.0109289707959585E-2</v>
      </c>
      <c r="BN7" s="110">
        <f t="shared" si="5"/>
        <v>5.8855742528801692E-2</v>
      </c>
      <c r="BO7" s="111">
        <f t="shared" si="5"/>
        <v>5.0689609005552895E-2</v>
      </c>
      <c r="BP7" s="110">
        <f t="shared" si="5"/>
        <v>4.3367107773942093E-2</v>
      </c>
      <c r="BQ7" s="109">
        <f t="shared" si="2"/>
        <v>3.7076083267582882E-2</v>
      </c>
      <c r="BR7" s="109">
        <f t="shared" si="2"/>
        <v>3.1845928333764227E-2</v>
      </c>
      <c r="BS7" s="111">
        <f t="shared" si="2"/>
        <v>3.0485013397645023E-2</v>
      </c>
      <c r="BT7" s="110">
        <f t="shared" si="2"/>
        <v>2.7289267527151013E-2</v>
      </c>
      <c r="BU7" s="111">
        <f t="shared" si="2"/>
        <v>2.1517739414059305E-2</v>
      </c>
      <c r="BV7" s="105">
        <f t="shared" si="2"/>
        <v>1.5747112858434817E-2</v>
      </c>
      <c r="BW7" s="105">
        <f t="shared" si="2"/>
        <v>1.1509946876637067E-2</v>
      </c>
      <c r="BX7" s="105">
        <f t="shared" si="2"/>
        <v>1.0032412892938327E-2</v>
      </c>
    </row>
    <row r="8" spans="1:76" x14ac:dyDescent="0.35">
      <c r="A8" s="104">
        <v>3</v>
      </c>
      <c r="C8" s="105">
        <f t="shared" si="3"/>
        <v>7.0414510565280156E-2</v>
      </c>
      <c r="D8" s="105">
        <f t="shared" si="0"/>
        <v>6.078960122234188E-2</v>
      </c>
      <c r="E8" s="105">
        <f t="shared" si="0"/>
        <v>5.0319335199381289E-2</v>
      </c>
      <c r="F8" s="105">
        <f t="shared" si="0"/>
        <v>4.064274713398569E-2</v>
      </c>
      <c r="G8" s="105">
        <f t="shared" si="0"/>
        <v>3.4562604924877317E-2</v>
      </c>
      <c r="H8" s="105">
        <f t="shared" si="0"/>
        <v>3.1471923902187643E-2</v>
      </c>
      <c r="I8" s="105">
        <f t="shared" si="0"/>
        <v>3.1298940345538338E-2</v>
      </c>
      <c r="J8" s="105">
        <f t="shared" si="0"/>
        <v>2.950007360491582E-2</v>
      </c>
      <c r="K8" s="105">
        <f t="shared" si="0"/>
        <v>2.4218196280416642E-2</v>
      </c>
      <c r="L8" s="105">
        <f t="shared" si="0"/>
        <v>2.0866359315726075E-2</v>
      </c>
      <c r="M8" s="105">
        <f t="shared" si="0"/>
        <v>1.9777960529124946E-2</v>
      </c>
      <c r="N8" s="105">
        <f t="shared" si="0"/>
        <v>1.9722119837646476E-2</v>
      </c>
      <c r="O8" s="105">
        <f t="shared" si="0"/>
        <v>1.9833522190773119E-2</v>
      </c>
      <c r="P8" s="110">
        <f t="shared" si="0"/>
        <v>1.8524061514258755E-2</v>
      </c>
      <c r="Q8" s="111">
        <f t="shared" si="0"/>
        <v>2.1560840408822064E-2</v>
      </c>
      <c r="R8" s="110">
        <f t="shared" si="0"/>
        <v>2.5349892500479875E-2</v>
      </c>
      <c r="S8" s="109">
        <f t="shared" si="0"/>
        <v>3.220850557924964E-2</v>
      </c>
      <c r="T8" s="109">
        <f t="shared" si="0"/>
        <v>4.0029551088423834E-2</v>
      </c>
      <c r="U8" s="111">
        <f t="shared" si="0"/>
        <v>4.2790398853416088E-2</v>
      </c>
      <c r="V8" s="105">
        <f t="shared" si="0"/>
        <v>4.3969482029171496E-2</v>
      </c>
      <c r="W8" s="105">
        <f t="shared" si="0"/>
        <v>6.854611938713899E-2</v>
      </c>
      <c r="X8" s="105">
        <f t="shared" si="0"/>
        <v>8.7328044767899404E-2</v>
      </c>
      <c r="Y8" s="105">
        <f t="shared" si="0"/>
        <v>8.6540267124225051E-2</v>
      </c>
      <c r="Z8" s="105">
        <f t="shared" si="0"/>
        <v>7.9734941694719341E-2</v>
      </c>
      <c r="AB8" s="105">
        <f t="shared" si="4"/>
        <v>1.9306522364691554E-2</v>
      </c>
      <c r="AC8" s="105">
        <f t="shared" si="1"/>
        <v>1.5361973016229002E-2</v>
      </c>
      <c r="AD8" s="105">
        <f t="shared" si="1"/>
        <v>1.1535347873848828E-2</v>
      </c>
      <c r="AE8" s="105">
        <f t="shared" si="1"/>
        <v>9.0337890224524153E-3</v>
      </c>
      <c r="AF8" s="105">
        <f t="shared" si="1"/>
        <v>7.6838570591548543E-3</v>
      </c>
      <c r="AG8" s="105">
        <f t="shared" si="1"/>
        <v>1.0553666195789662E-2</v>
      </c>
      <c r="AH8" s="105">
        <f t="shared" si="1"/>
        <v>1.836712195734222E-2</v>
      </c>
      <c r="AI8" s="105">
        <f t="shared" si="1"/>
        <v>2.901461845430172E-2</v>
      </c>
      <c r="AJ8" s="105">
        <f t="shared" si="1"/>
        <v>4.6059509629829291E-2</v>
      </c>
      <c r="AK8" s="105">
        <f t="shared" si="1"/>
        <v>5.4743835979438459E-2</v>
      </c>
      <c r="AL8" s="105">
        <f t="shared" si="1"/>
        <v>6.3298799472509451E-2</v>
      </c>
      <c r="AM8" s="105">
        <f t="shared" si="1"/>
        <v>6.4734956656348569E-2</v>
      </c>
      <c r="AN8" s="105">
        <f t="shared" si="1"/>
        <v>6.7846370351886426E-2</v>
      </c>
      <c r="AO8" s="109">
        <f t="shared" si="1"/>
        <v>6.9722833791339728E-2</v>
      </c>
      <c r="AP8" s="110">
        <f t="shared" si="1"/>
        <v>6.9193274460257317E-2</v>
      </c>
      <c r="AQ8" s="109">
        <f t="shared" si="1"/>
        <v>6.5503570187693275E-2</v>
      </c>
      <c r="AR8" s="109">
        <f t="shared" si="1"/>
        <v>6.2943660791461783E-2</v>
      </c>
      <c r="AS8" s="109">
        <f t="shared" si="1"/>
        <v>5.8423851255049078E-2</v>
      </c>
      <c r="AT8" s="109">
        <f t="shared" si="1"/>
        <v>5.9459757092460964E-2</v>
      </c>
      <c r="AU8" s="109">
        <f t="shared" si="1"/>
        <v>5.5664370726784415E-2</v>
      </c>
      <c r="AV8" s="109">
        <f t="shared" si="1"/>
        <v>4.6824760303983248E-2</v>
      </c>
      <c r="AW8" s="111">
        <f t="shared" si="1"/>
        <v>3.9120484309908561E-2</v>
      </c>
      <c r="AX8" s="105">
        <f t="shared" si="1"/>
        <v>3.047060474135983E-2</v>
      </c>
      <c r="AY8" s="105">
        <f t="shared" si="1"/>
        <v>2.5132464305879443E-2</v>
      </c>
      <c r="BA8" s="105">
        <f t="shared" si="5"/>
        <v>1.3307233296629839E-2</v>
      </c>
      <c r="BB8" s="105">
        <f t="shared" si="2"/>
        <v>1.5074921919903653E-2</v>
      </c>
      <c r="BC8" s="105">
        <f t="shared" si="2"/>
        <v>1.1922275447676149E-2</v>
      </c>
      <c r="BD8" s="105">
        <f t="shared" si="2"/>
        <v>8.9052862769829627E-3</v>
      </c>
      <c r="BE8" s="105">
        <f t="shared" si="2"/>
        <v>9.37387327413239E-3</v>
      </c>
      <c r="BF8" s="105">
        <f t="shared" si="2"/>
        <v>1.8969054349847442E-2</v>
      </c>
      <c r="BG8" s="105">
        <f t="shared" si="2"/>
        <v>4.6185067237219629E-2</v>
      </c>
      <c r="BH8" s="105">
        <f t="shared" si="2"/>
        <v>7.8139393739055749E-2</v>
      </c>
      <c r="BI8" s="105">
        <f t="shared" si="2"/>
        <v>0.10568969100726372</v>
      </c>
      <c r="BJ8" s="105">
        <f t="shared" si="2"/>
        <v>0.10381140280312412</v>
      </c>
      <c r="BK8" s="105">
        <f t="shared" si="2"/>
        <v>9.6355184706183053E-2</v>
      </c>
      <c r="BL8" s="105">
        <f t="shared" si="2"/>
        <v>8.3741362357512283E-2</v>
      </c>
      <c r="BM8" s="105">
        <f t="shared" si="2"/>
        <v>7.0109289707959585E-2</v>
      </c>
      <c r="BN8" s="110">
        <f t="shared" si="2"/>
        <v>5.8855742528801692E-2</v>
      </c>
      <c r="BO8" s="111">
        <f t="shared" si="2"/>
        <v>5.0689609005552895E-2</v>
      </c>
      <c r="BP8" s="110">
        <f t="shared" si="2"/>
        <v>4.3367107773942093E-2</v>
      </c>
      <c r="BQ8" s="109">
        <f t="shared" si="2"/>
        <v>3.7076083267582882E-2</v>
      </c>
      <c r="BR8" s="109">
        <f t="shared" si="2"/>
        <v>3.1845928333764227E-2</v>
      </c>
      <c r="BS8" s="111">
        <f t="shared" si="2"/>
        <v>3.0485013397645023E-2</v>
      </c>
      <c r="BT8" s="110">
        <f t="shared" si="2"/>
        <v>2.7289267527151013E-2</v>
      </c>
      <c r="BU8" s="111">
        <f t="shared" si="2"/>
        <v>2.1517739414059305E-2</v>
      </c>
      <c r="BV8" s="105">
        <f t="shared" si="2"/>
        <v>1.5747112858434817E-2</v>
      </c>
      <c r="BW8" s="105">
        <f t="shared" si="2"/>
        <v>1.1509946876637067E-2</v>
      </c>
      <c r="BX8" s="105">
        <f t="shared" si="2"/>
        <v>1.0032412892938327E-2</v>
      </c>
    </row>
    <row r="9" spans="1:76" x14ac:dyDescent="0.35">
      <c r="A9" s="104">
        <v>4</v>
      </c>
      <c r="C9" s="105">
        <f t="shared" si="3"/>
        <v>7.0414510565280156E-2</v>
      </c>
      <c r="D9" s="105">
        <f t="shared" si="0"/>
        <v>6.078960122234188E-2</v>
      </c>
      <c r="E9" s="105">
        <f t="shared" si="0"/>
        <v>5.0319335199381289E-2</v>
      </c>
      <c r="F9" s="105">
        <f t="shared" si="0"/>
        <v>4.064274713398569E-2</v>
      </c>
      <c r="G9" s="105">
        <f t="shared" si="0"/>
        <v>3.4562604924877317E-2</v>
      </c>
      <c r="H9" s="105">
        <f t="shared" si="0"/>
        <v>3.1471923902187643E-2</v>
      </c>
      <c r="I9" s="105">
        <f t="shared" si="0"/>
        <v>3.1298940345538338E-2</v>
      </c>
      <c r="J9" s="105">
        <f t="shared" si="0"/>
        <v>2.950007360491582E-2</v>
      </c>
      <c r="K9" s="105">
        <f t="shared" si="0"/>
        <v>2.4218196280416642E-2</v>
      </c>
      <c r="L9" s="105">
        <f t="shared" si="0"/>
        <v>2.0866359315726075E-2</v>
      </c>
      <c r="M9" s="105">
        <f t="shared" si="0"/>
        <v>1.9777960529124946E-2</v>
      </c>
      <c r="N9" s="105">
        <f t="shared" si="0"/>
        <v>1.9722119837646476E-2</v>
      </c>
      <c r="O9" s="105">
        <f t="shared" si="0"/>
        <v>1.9833522190773119E-2</v>
      </c>
      <c r="P9" s="110">
        <f t="shared" si="0"/>
        <v>1.8524061514258755E-2</v>
      </c>
      <c r="Q9" s="111">
        <f t="shared" si="0"/>
        <v>2.1560840408822064E-2</v>
      </c>
      <c r="R9" s="110">
        <f t="shared" si="0"/>
        <v>2.5349892500479875E-2</v>
      </c>
      <c r="S9" s="109">
        <f t="shared" si="0"/>
        <v>3.220850557924964E-2</v>
      </c>
      <c r="T9" s="109">
        <f t="shared" si="0"/>
        <v>4.0029551088423834E-2</v>
      </c>
      <c r="U9" s="111">
        <f t="shared" si="0"/>
        <v>4.2790398853416088E-2</v>
      </c>
      <c r="V9" s="105">
        <f t="shared" si="0"/>
        <v>4.3969482029171496E-2</v>
      </c>
      <c r="W9" s="105">
        <f t="shared" si="0"/>
        <v>6.854611938713899E-2</v>
      </c>
      <c r="X9" s="105">
        <f t="shared" si="0"/>
        <v>8.7328044767899404E-2</v>
      </c>
      <c r="Y9" s="105">
        <f t="shared" si="0"/>
        <v>8.6540267124225051E-2</v>
      </c>
      <c r="Z9" s="105">
        <f t="shared" si="0"/>
        <v>7.9734941694719341E-2</v>
      </c>
      <c r="AB9" s="105">
        <f t="shared" si="4"/>
        <v>1.9306522364691554E-2</v>
      </c>
      <c r="AC9" s="105">
        <f t="shared" si="1"/>
        <v>1.5361973016229002E-2</v>
      </c>
      <c r="AD9" s="105">
        <f t="shared" si="1"/>
        <v>1.1535347873848828E-2</v>
      </c>
      <c r="AE9" s="105">
        <f t="shared" si="1"/>
        <v>9.0337890224524153E-3</v>
      </c>
      <c r="AF9" s="105">
        <f t="shared" si="1"/>
        <v>7.6838570591548543E-3</v>
      </c>
      <c r="AG9" s="105">
        <f t="shared" si="1"/>
        <v>1.0553666195789662E-2</v>
      </c>
      <c r="AH9" s="105">
        <f t="shared" si="1"/>
        <v>1.836712195734222E-2</v>
      </c>
      <c r="AI9" s="105">
        <f t="shared" si="1"/>
        <v>2.901461845430172E-2</v>
      </c>
      <c r="AJ9" s="105">
        <f t="shared" si="1"/>
        <v>4.6059509629829291E-2</v>
      </c>
      <c r="AK9" s="105">
        <f t="shared" si="1"/>
        <v>5.4743835979438459E-2</v>
      </c>
      <c r="AL9" s="105">
        <f t="shared" si="1"/>
        <v>6.3298799472509451E-2</v>
      </c>
      <c r="AM9" s="105">
        <f t="shared" si="1"/>
        <v>6.4734956656348569E-2</v>
      </c>
      <c r="AN9" s="105">
        <f t="shared" si="1"/>
        <v>6.7846370351886426E-2</v>
      </c>
      <c r="AO9" s="109">
        <f t="shared" si="1"/>
        <v>6.9722833791339728E-2</v>
      </c>
      <c r="AP9" s="110">
        <f t="shared" si="1"/>
        <v>6.9193274460257317E-2</v>
      </c>
      <c r="AQ9" s="109">
        <f t="shared" si="1"/>
        <v>6.5503570187693275E-2</v>
      </c>
      <c r="AR9" s="109">
        <f t="shared" si="1"/>
        <v>6.2943660791461783E-2</v>
      </c>
      <c r="AS9" s="109">
        <f t="shared" si="1"/>
        <v>5.8423851255049078E-2</v>
      </c>
      <c r="AT9" s="109">
        <f t="shared" si="1"/>
        <v>5.9459757092460964E-2</v>
      </c>
      <c r="AU9" s="109">
        <f t="shared" si="1"/>
        <v>5.5664370726784415E-2</v>
      </c>
      <c r="AV9" s="109">
        <f t="shared" si="1"/>
        <v>4.6824760303983248E-2</v>
      </c>
      <c r="AW9" s="111">
        <f t="shared" si="1"/>
        <v>3.9120484309908561E-2</v>
      </c>
      <c r="AX9" s="105">
        <f t="shared" si="1"/>
        <v>3.047060474135983E-2</v>
      </c>
      <c r="AY9" s="105">
        <f t="shared" si="1"/>
        <v>2.5132464305879443E-2</v>
      </c>
      <c r="BA9" s="105">
        <f t="shared" si="5"/>
        <v>1.3307233296629839E-2</v>
      </c>
      <c r="BB9" s="105">
        <f t="shared" si="2"/>
        <v>1.5074921919903653E-2</v>
      </c>
      <c r="BC9" s="105">
        <f t="shared" si="2"/>
        <v>1.1922275447676149E-2</v>
      </c>
      <c r="BD9" s="105">
        <f t="shared" si="2"/>
        <v>8.9052862769829627E-3</v>
      </c>
      <c r="BE9" s="105">
        <f t="shared" si="2"/>
        <v>9.37387327413239E-3</v>
      </c>
      <c r="BF9" s="105">
        <f t="shared" si="2"/>
        <v>1.8969054349847442E-2</v>
      </c>
      <c r="BG9" s="105">
        <f t="shared" si="2"/>
        <v>4.6185067237219629E-2</v>
      </c>
      <c r="BH9" s="105">
        <f t="shared" si="2"/>
        <v>7.8139393739055749E-2</v>
      </c>
      <c r="BI9" s="105">
        <f t="shared" si="2"/>
        <v>0.10568969100726372</v>
      </c>
      <c r="BJ9" s="105">
        <f t="shared" si="2"/>
        <v>0.10381140280312412</v>
      </c>
      <c r="BK9" s="105">
        <f t="shared" si="2"/>
        <v>9.6355184706183053E-2</v>
      </c>
      <c r="BL9" s="105">
        <f t="shared" si="2"/>
        <v>8.3741362357512283E-2</v>
      </c>
      <c r="BM9" s="105">
        <f t="shared" si="2"/>
        <v>7.0109289707959585E-2</v>
      </c>
      <c r="BN9" s="110">
        <f t="shared" si="2"/>
        <v>5.8855742528801692E-2</v>
      </c>
      <c r="BO9" s="111">
        <f t="shared" si="2"/>
        <v>5.0689609005552895E-2</v>
      </c>
      <c r="BP9" s="110">
        <f t="shared" si="2"/>
        <v>4.3367107773942093E-2</v>
      </c>
      <c r="BQ9" s="109">
        <f t="shared" si="2"/>
        <v>3.7076083267582882E-2</v>
      </c>
      <c r="BR9" s="109">
        <f t="shared" si="2"/>
        <v>3.1845928333764227E-2</v>
      </c>
      <c r="BS9" s="111">
        <f t="shared" si="2"/>
        <v>3.0485013397645023E-2</v>
      </c>
      <c r="BT9" s="110">
        <f t="shared" si="2"/>
        <v>2.7289267527151013E-2</v>
      </c>
      <c r="BU9" s="111">
        <f t="shared" si="2"/>
        <v>2.1517739414059305E-2</v>
      </c>
      <c r="BV9" s="105">
        <f t="shared" si="2"/>
        <v>1.5747112858434817E-2</v>
      </c>
      <c r="BW9" s="105">
        <f t="shared" si="2"/>
        <v>1.1509946876637067E-2</v>
      </c>
      <c r="BX9" s="105">
        <f t="shared" si="2"/>
        <v>1.0032412892938327E-2</v>
      </c>
    </row>
    <row r="10" spans="1:76" x14ac:dyDescent="0.35">
      <c r="A10" s="104">
        <v>5</v>
      </c>
      <c r="C10" s="105">
        <f t="shared" si="3"/>
        <v>7.0414510565280156E-2</v>
      </c>
      <c r="D10" s="105">
        <f t="shared" si="0"/>
        <v>6.078960122234188E-2</v>
      </c>
      <c r="E10" s="105">
        <f t="shared" si="0"/>
        <v>5.0319335199381289E-2</v>
      </c>
      <c r="F10" s="105">
        <f t="shared" si="0"/>
        <v>4.064274713398569E-2</v>
      </c>
      <c r="G10" s="105">
        <f t="shared" si="0"/>
        <v>3.4562604924877317E-2</v>
      </c>
      <c r="H10" s="105">
        <f t="shared" si="0"/>
        <v>3.1471923902187643E-2</v>
      </c>
      <c r="I10" s="105">
        <f t="shared" si="0"/>
        <v>3.1298940345538338E-2</v>
      </c>
      <c r="J10" s="105">
        <f t="shared" si="0"/>
        <v>2.950007360491582E-2</v>
      </c>
      <c r="K10" s="105">
        <f t="shared" si="0"/>
        <v>2.4218196280416642E-2</v>
      </c>
      <c r="L10" s="105">
        <f t="shared" si="0"/>
        <v>2.0866359315726075E-2</v>
      </c>
      <c r="M10" s="105">
        <f t="shared" si="0"/>
        <v>1.9777960529124946E-2</v>
      </c>
      <c r="N10" s="105">
        <f t="shared" si="0"/>
        <v>1.9722119837646476E-2</v>
      </c>
      <c r="O10" s="105">
        <f t="shared" si="0"/>
        <v>1.9833522190773119E-2</v>
      </c>
      <c r="P10" s="110">
        <f t="shared" si="0"/>
        <v>1.8524061514258755E-2</v>
      </c>
      <c r="Q10" s="111">
        <f t="shared" si="0"/>
        <v>2.1560840408822064E-2</v>
      </c>
      <c r="R10" s="110">
        <f t="shared" si="0"/>
        <v>2.5349892500479875E-2</v>
      </c>
      <c r="S10" s="109">
        <f t="shared" si="0"/>
        <v>3.220850557924964E-2</v>
      </c>
      <c r="T10" s="109">
        <f t="shared" si="0"/>
        <v>4.0029551088423834E-2</v>
      </c>
      <c r="U10" s="111">
        <f t="shared" si="0"/>
        <v>4.2790398853416088E-2</v>
      </c>
      <c r="V10" s="105">
        <f t="shared" si="0"/>
        <v>4.3969482029171496E-2</v>
      </c>
      <c r="W10" s="105">
        <f t="shared" si="0"/>
        <v>6.854611938713899E-2</v>
      </c>
      <c r="X10" s="105">
        <f t="shared" si="0"/>
        <v>8.7328044767899404E-2</v>
      </c>
      <c r="Y10" s="105">
        <f t="shared" si="0"/>
        <v>8.6540267124225051E-2</v>
      </c>
      <c r="Z10" s="105">
        <f t="shared" si="0"/>
        <v>7.9734941694719341E-2</v>
      </c>
      <c r="AB10" s="105">
        <f t="shared" si="4"/>
        <v>1.9306522364691554E-2</v>
      </c>
      <c r="AC10" s="105">
        <f t="shared" si="1"/>
        <v>1.5361973016229002E-2</v>
      </c>
      <c r="AD10" s="105">
        <f t="shared" si="1"/>
        <v>1.1535347873848828E-2</v>
      </c>
      <c r="AE10" s="105">
        <f t="shared" si="1"/>
        <v>9.0337890224524153E-3</v>
      </c>
      <c r="AF10" s="105">
        <f t="shared" si="1"/>
        <v>7.6838570591548543E-3</v>
      </c>
      <c r="AG10" s="105">
        <f t="shared" si="1"/>
        <v>1.0553666195789662E-2</v>
      </c>
      <c r="AH10" s="105">
        <f t="shared" si="1"/>
        <v>1.836712195734222E-2</v>
      </c>
      <c r="AI10" s="105">
        <f>AI40</f>
        <v>2.901461845430172E-2</v>
      </c>
      <c r="AJ10" s="105">
        <f t="shared" si="1"/>
        <v>4.6059509629829291E-2</v>
      </c>
      <c r="AK10" s="105">
        <f t="shared" si="1"/>
        <v>5.4743835979438459E-2</v>
      </c>
      <c r="AL10" s="105">
        <f t="shared" si="1"/>
        <v>6.3298799472509451E-2</v>
      </c>
      <c r="AM10" s="105">
        <f t="shared" si="1"/>
        <v>6.4734956656348569E-2</v>
      </c>
      <c r="AN10" s="105">
        <f t="shared" si="1"/>
        <v>6.7846370351886426E-2</v>
      </c>
      <c r="AO10" s="109">
        <f t="shared" si="1"/>
        <v>6.9722833791339728E-2</v>
      </c>
      <c r="AP10" s="110">
        <f t="shared" si="1"/>
        <v>6.9193274460257317E-2</v>
      </c>
      <c r="AQ10" s="109">
        <f t="shared" si="1"/>
        <v>6.5503570187693275E-2</v>
      </c>
      <c r="AR10" s="109">
        <f t="shared" si="1"/>
        <v>6.2943660791461783E-2</v>
      </c>
      <c r="AS10" s="109">
        <f t="shared" si="1"/>
        <v>5.8423851255049078E-2</v>
      </c>
      <c r="AT10" s="109">
        <f t="shared" si="1"/>
        <v>5.9459757092460964E-2</v>
      </c>
      <c r="AU10" s="109">
        <f t="shared" si="1"/>
        <v>5.5664370726784415E-2</v>
      </c>
      <c r="AV10" s="109">
        <f t="shared" si="1"/>
        <v>4.6824760303983248E-2</v>
      </c>
      <c r="AW10" s="111">
        <f t="shared" si="1"/>
        <v>3.9120484309908561E-2</v>
      </c>
      <c r="AX10" s="105">
        <f t="shared" si="1"/>
        <v>3.047060474135983E-2</v>
      </c>
      <c r="AY10" s="105">
        <f t="shared" si="1"/>
        <v>2.5132464305879443E-2</v>
      </c>
      <c r="BA10" s="105">
        <f t="shared" si="5"/>
        <v>1.3307233296629839E-2</v>
      </c>
      <c r="BB10" s="105">
        <f t="shared" si="2"/>
        <v>1.5074921919903653E-2</v>
      </c>
      <c r="BC10" s="105">
        <f t="shared" si="2"/>
        <v>1.1922275447676149E-2</v>
      </c>
      <c r="BD10" s="105">
        <f t="shared" si="2"/>
        <v>8.9052862769829627E-3</v>
      </c>
      <c r="BE10" s="105">
        <f t="shared" si="2"/>
        <v>9.37387327413239E-3</v>
      </c>
      <c r="BF10" s="105">
        <f t="shared" si="2"/>
        <v>1.8969054349847442E-2</v>
      </c>
      <c r="BG10" s="105">
        <f t="shared" si="2"/>
        <v>4.6185067237219629E-2</v>
      </c>
      <c r="BH10" s="105">
        <f t="shared" si="2"/>
        <v>7.8139393739055749E-2</v>
      </c>
      <c r="BI10" s="105">
        <f t="shared" si="2"/>
        <v>0.10568969100726372</v>
      </c>
      <c r="BJ10" s="105">
        <f t="shared" si="2"/>
        <v>0.10381140280312412</v>
      </c>
      <c r="BK10" s="105">
        <f t="shared" si="2"/>
        <v>9.6355184706183053E-2</v>
      </c>
      <c r="BL10" s="105">
        <f t="shared" si="2"/>
        <v>8.3741362357512283E-2</v>
      </c>
      <c r="BM10" s="105">
        <f t="shared" si="2"/>
        <v>7.0109289707959585E-2</v>
      </c>
      <c r="BN10" s="110">
        <f t="shared" si="2"/>
        <v>5.8855742528801692E-2</v>
      </c>
      <c r="BO10" s="111">
        <f t="shared" si="2"/>
        <v>5.0689609005552895E-2</v>
      </c>
      <c r="BP10" s="110">
        <f t="shared" si="2"/>
        <v>4.3367107773942093E-2</v>
      </c>
      <c r="BQ10" s="109">
        <f t="shared" si="2"/>
        <v>3.7076083267582882E-2</v>
      </c>
      <c r="BR10" s="109">
        <f t="shared" si="2"/>
        <v>3.1845928333764227E-2</v>
      </c>
      <c r="BS10" s="111">
        <f t="shared" si="2"/>
        <v>3.0485013397645023E-2</v>
      </c>
      <c r="BT10" s="110">
        <f t="shared" si="2"/>
        <v>2.7289267527151013E-2</v>
      </c>
      <c r="BU10" s="111">
        <f t="shared" si="2"/>
        <v>2.1517739414059305E-2</v>
      </c>
      <c r="BV10" s="105">
        <f t="shared" si="2"/>
        <v>1.5747112858434817E-2</v>
      </c>
      <c r="BW10" s="105">
        <f t="shared" si="2"/>
        <v>1.1509946876637067E-2</v>
      </c>
      <c r="BX10" s="105">
        <f t="shared" si="2"/>
        <v>1.0032412892938327E-2</v>
      </c>
    </row>
    <row r="11" spans="1:76" x14ac:dyDescent="0.35">
      <c r="A11" s="104">
        <v>6</v>
      </c>
      <c r="C11" s="112">
        <f t="shared" si="3"/>
        <v>7.0414510565280156E-2</v>
      </c>
      <c r="D11" s="113">
        <f t="shared" si="0"/>
        <v>6.078960122234188E-2</v>
      </c>
      <c r="E11" s="113">
        <f t="shared" si="0"/>
        <v>5.0319335199381289E-2</v>
      </c>
      <c r="F11" s="113">
        <f t="shared" si="0"/>
        <v>4.064274713398569E-2</v>
      </c>
      <c r="G11" s="113">
        <f t="shared" si="0"/>
        <v>3.4562604924877317E-2</v>
      </c>
      <c r="H11" s="113">
        <f t="shared" si="0"/>
        <v>3.1471923902187643E-2</v>
      </c>
      <c r="I11" s="113">
        <f t="shared" si="0"/>
        <v>3.1298940345538338E-2</v>
      </c>
      <c r="J11" s="113">
        <f t="shared" si="0"/>
        <v>2.950007360491582E-2</v>
      </c>
      <c r="K11" s="113">
        <f t="shared" si="0"/>
        <v>2.4218196280416642E-2</v>
      </c>
      <c r="L11" s="113">
        <f t="shared" si="0"/>
        <v>2.0866359315726075E-2</v>
      </c>
      <c r="M11" s="113">
        <f t="shared" si="0"/>
        <v>1.9777960529124946E-2</v>
      </c>
      <c r="N11" s="113">
        <f t="shared" si="0"/>
        <v>1.9722119837646476E-2</v>
      </c>
      <c r="O11" s="113">
        <f t="shared" si="0"/>
        <v>1.9833522190773119E-2</v>
      </c>
      <c r="P11" s="114">
        <f t="shared" si="0"/>
        <v>1.8524061514258755E-2</v>
      </c>
      <c r="Q11" s="115">
        <f t="shared" si="0"/>
        <v>2.1560840408822064E-2</v>
      </c>
      <c r="R11" s="114">
        <f t="shared" si="0"/>
        <v>2.5349892500479875E-2</v>
      </c>
      <c r="S11" s="113">
        <f t="shared" si="0"/>
        <v>3.220850557924964E-2</v>
      </c>
      <c r="T11" s="113">
        <f t="shared" si="0"/>
        <v>4.0029551088423834E-2</v>
      </c>
      <c r="U11" s="115">
        <f t="shared" si="0"/>
        <v>4.2790398853416088E-2</v>
      </c>
      <c r="V11" s="113">
        <f t="shared" si="0"/>
        <v>4.3969482029171496E-2</v>
      </c>
      <c r="W11" s="113">
        <f t="shared" si="0"/>
        <v>6.854611938713899E-2</v>
      </c>
      <c r="X11" s="113">
        <f t="shared" si="0"/>
        <v>8.7328044767899404E-2</v>
      </c>
      <c r="Y11" s="113">
        <f t="shared" si="0"/>
        <v>8.6540267124225051E-2</v>
      </c>
      <c r="Z11" s="116">
        <f t="shared" si="0"/>
        <v>7.9734941694719341E-2</v>
      </c>
      <c r="AB11" s="112">
        <f t="shared" si="4"/>
        <v>1.9306522364691554E-2</v>
      </c>
      <c r="AC11" s="113">
        <f t="shared" si="1"/>
        <v>1.5361973016229002E-2</v>
      </c>
      <c r="AD11" s="113">
        <f t="shared" si="1"/>
        <v>1.1535347873848828E-2</v>
      </c>
      <c r="AE11" s="113">
        <f t="shared" si="1"/>
        <v>9.0337890224524153E-3</v>
      </c>
      <c r="AF11" s="113">
        <f t="shared" si="1"/>
        <v>7.6838570591548543E-3</v>
      </c>
      <c r="AG11" s="113">
        <f t="shared" si="1"/>
        <v>1.0553666195789662E-2</v>
      </c>
      <c r="AH11" s="113">
        <f t="shared" si="1"/>
        <v>1.836712195734222E-2</v>
      </c>
      <c r="AI11" s="113">
        <f t="shared" si="1"/>
        <v>2.901461845430172E-2</v>
      </c>
      <c r="AJ11" s="113">
        <f t="shared" si="1"/>
        <v>4.6059509629829291E-2</v>
      </c>
      <c r="AK11" s="113">
        <f t="shared" si="1"/>
        <v>5.4743835979438459E-2</v>
      </c>
      <c r="AL11" s="113">
        <f t="shared" si="1"/>
        <v>6.3298799472509451E-2</v>
      </c>
      <c r="AM11" s="113">
        <f t="shared" si="1"/>
        <v>6.4734956656348569E-2</v>
      </c>
      <c r="AN11" s="113">
        <f t="shared" si="1"/>
        <v>6.7846370351886426E-2</v>
      </c>
      <c r="AO11" s="113">
        <f t="shared" si="1"/>
        <v>6.9722833791339728E-2</v>
      </c>
      <c r="AP11" s="114">
        <f t="shared" si="1"/>
        <v>6.9193274460257317E-2</v>
      </c>
      <c r="AQ11" s="113">
        <f t="shared" si="1"/>
        <v>6.5503570187693275E-2</v>
      </c>
      <c r="AR11" s="113">
        <f t="shared" si="1"/>
        <v>6.2943660791461783E-2</v>
      </c>
      <c r="AS11" s="113">
        <f t="shared" si="1"/>
        <v>5.8423851255049078E-2</v>
      </c>
      <c r="AT11" s="113">
        <f t="shared" si="1"/>
        <v>5.9459757092460964E-2</v>
      </c>
      <c r="AU11" s="113">
        <f t="shared" si="1"/>
        <v>5.5664370726784415E-2</v>
      </c>
      <c r="AV11" s="113">
        <f t="shared" si="1"/>
        <v>4.6824760303983248E-2</v>
      </c>
      <c r="AW11" s="115">
        <f t="shared" si="1"/>
        <v>3.9120484309908561E-2</v>
      </c>
      <c r="AX11" s="113">
        <f t="shared" si="1"/>
        <v>3.047060474135983E-2</v>
      </c>
      <c r="AY11" s="116">
        <f t="shared" si="1"/>
        <v>2.5132464305879443E-2</v>
      </c>
      <c r="BA11" s="112">
        <f t="shared" si="5"/>
        <v>1.3307233296629839E-2</v>
      </c>
      <c r="BB11" s="113">
        <f t="shared" si="2"/>
        <v>1.5074921919903653E-2</v>
      </c>
      <c r="BC11" s="113">
        <f t="shared" si="2"/>
        <v>1.1922275447676149E-2</v>
      </c>
      <c r="BD11" s="113">
        <f t="shared" si="2"/>
        <v>8.9052862769829627E-3</v>
      </c>
      <c r="BE11" s="113">
        <f t="shared" si="2"/>
        <v>9.37387327413239E-3</v>
      </c>
      <c r="BF11" s="113">
        <f t="shared" si="2"/>
        <v>1.8969054349847442E-2</v>
      </c>
      <c r="BG11" s="113">
        <f t="shared" si="2"/>
        <v>4.6185067237219629E-2</v>
      </c>
      <c r="BH11" s="113">
        <f t="shared" si="2"/>
        <v>7.8139393739055749E-2</v>
      </c>
      <c r="BI11" s="113">
        <f t="shared" si="2"/>
        <v>0.10568969100726372</v>
      </c>
      <c r="BJ11" s="113">
        <f t="shared" si="2"/>
        <v>0.10381140280312412</v>
      </c>
      <c r="BK11" s="113">
        <f t="shared" si="2"/>
        <v>9.6355184706183053E-2</v>
      </c>
      <c r="BL11" s="113">
        <f t="shared" si="2"/>
        <v>8.3741362357512283E-2</v>
      </c>
      <c r="BM11" s="113">
        <f t="shared" si="2"/>
        <v>7.0109289707959585E-2</v>
      </c>
      <c r="BN11" s="114">
        <f t="shared" si="2"/>
        <v>5.8855742528801692E-2</v>
      </c>
      <c r="BO11" s="115">
        <f t="shared" si="2"/>
        <v>5.0689609005552895E-2</v>
      </c>
      <c r="BP11" s="114">
        <f t="shared" si="2"/>
        <v>4.3367107773942093E-2</v>
      </c>
      <c r="BQ11" s="113">
        <f t="shared" si="2"/>
        <v>3.7076083267582882E-2</v>
      </c>
      <c r="BR11" s="113">
        <f t="shared" si="2"/>
        <v>3.1845928333764227E-2</v>
      </c>
      <c r="BS11" s="115">
        <f t="shared" si="2"/>
        <v>3.0485013397645023E-2</v>
      </c>
      <c r="BT11" s="114">
        <f t="shared" si="2"/>
        <v>2.7289267527151013E-2</v>
      </c>
      <c r="BU11" s="115">
        <f t="shared" si="2"/>
        <v>2.1517739414059305E-2</v>
      </c>
      <c r="BV11" s="113">
        <f t="shared" si="2"/>
        <v>1.5747112858434817E-2</v>
      </c>
      <c r="BW11" s="113">
        <f t="shared" si="2"/>
        <v>1.1509946876637067E-2</v>
      </c>
      <c r="BX11" s="116">
        <f t="shared" si="2"/>
        <v>1.0032412892938327E-2</v>
      </c>
    </row>
    <row r="12" spans="1:76" x14ac:dyDescent="0.35">
      <c r="A12" s="104">
        <v>7</v>
      </c>
      <c r="C12" s="117">
        <f t="shared" si="3"/>
        <v>7.0414510565280156E-2</v>
      </c>
      <c r="D12" s="109">
        <f t="shared" si="0"/>
        <v>6.078960122234188E-2</v>
      </c>
      <c r="E12" s="109">
        <f t="shared" si="0"/>
        <v>5.0319335199381289E-2</v>
      </c>
      <c r="F12" s="109">
        <f t="shared" si="0"/>
        <v>4.064274713398569E-2</v>
      </c>
      <c r="G12" s="109">
        <f t="shared" si="0"/>
        <v>3.4562604924877317E-2</v>
      </c>
      <c r="H12" s="109">
        <f t="shared" si="0"/>
        <v>3.1471923902187643E-2</v>
      </c>
      <c r="I12" s="109">
        <f t="shared" si="0"/>
        <v>3.1298940345538338E-2</v>
      </c>
      <c r="J12" s="109">
        <f t="shared" si="0"/>
        <v>2.950007360491582E-2</v>
      </c>
      <c r="K12" s="109">
        <f t="shared" si="0"/>
        <v>2.4218196280416642E-2</v>
      </c>
      <c r="L12" s="109">
        <f t="shared" si="0"/>
        <v>2.0866359315726075E-2</v>
      </c>
      <c r="M12" s="109">
        <f t="shared" si="0"/>
        <v>1.9777960529124946E-2</v>
      </c>
      <c r="N12" s="109">
        <f t="shared" si="0"/>
        <v>1.9722119837646476E-2</v>
      </c>
      <c r="O12" s="109">
        <f t="shared" si="0"/>
        <v>1.9833522190773119E-2</v>
      </c>
      <c r="P12" s="110">
        <f t="shared" si="0"/>
        <v>1.8524061514258755E-2</v>
      </c>
      <c r="Q12" s="111">
        <f t="shared" si="0"/>
        <v>2.1560840408822064E-2</v>
      </c>
      <c r="R12" s="110">
        <f t="shared" si="0"/>
        <v>2.5349892500479875E-2</v>
      </c>
      <c r="S12" s="109">
        <f t="shared" si="0"/>
        <v>3.220850557924964E-2</v>
      </c>
      <c r="T12" s="109">
        <f t="shared" si="0"/>
        <v>4.0029551088423834E-2</v>
      </c>
      <c r="U12" s="111">
        <f t="shared" si="0"/>
        <v>4.2790398853416088E-2</v>
      </c>
      <c r="V12" s="109">
        <f t="shared" si="0"/>
        <v>4.3969482029171496E-2</v>
      </c>
      <c r="W12" s="109">
        <f t="shared" si="0"/>
        <v>6.854611938713899E-2</v>
      </c>
      <c r="X12" s="109">
        <f t="shared" si="0"/>
        <v>8.7328044767899404E-2</v>
      </c>
      <c r="Y12" s="109">
        <f t="shared" si="0"/>
        <v>8.6540267124225051E-2</v>
      </c>
      <c r="Z12" s="118">
        <f t="shared" si="0"/>
        <v>7.9734941694719341E-2</v>
      </c>
      <c r="AB12" s="117">
        <f t="shared" si="4"/>
        <v>1.9306522364691554E-2</v>
      </c>
      <c r="AC12" s="109">
        <f t="shared" si="1"/>
        <v>1.5361973016229002E-2</v>
      </c>
      <c r="AD12" s="109">
        <f t="shared" si="1"/>
        <v>1.1535347873848828E-2</v>
      </c>
      <c r="AE12" s="109">
        <f t="shared" si="1"/>
        <v>9.0337890224524153E-3</v>
      </c>
      <c r="AF12" s="109">
        <f t="shared" si="1"/>
        <v>7.6838570591548543E-3</v>
      </c>
      <c r="AG12" s="109">
        <f t="shared" si="1"/>
        <v>1.0553666195789662E-2</v>
      </c>
      <c r="AH12" s="109">
        <f t="shared" si="1"/>
        <v>1.836712195734222E-2</v>
      </c>
      <c r="AI12" s="109">
        <f t="shared" si="1"/>
        <v>2.901461845430172E-2</v>
      </c>
      <c r="AJ12" s="109">
        <f t="shared" si="1"/>
        <v>4.6059509629829291E-2</v>
      </c>
      <c r="AK12" s="109">
        <f t="shared" si="1"/>
        <v>5.4743835979438459E-2</v>
      </c>
      <c r="AL12" s="109">
        <f t="shared" si="1"/>
        <v>6.3298799472509451E-2</v>
      </c>
      <c r="AM12" s="109">
        <f t="shared" si="1"/>
        <v>6.4734956656348569E-2</v>
      </c>
      <c r="AN12" s="109">
        <f t="shared" si="1"/>
        <v>6.7846370351886426E-2</v>
      </c>
      <c r="AO12" s="109">
        <f t="shared" si="1"/>
        <v>6.9722833791339728E-2</v>
      </c>
      <c r="AP12" s="110">
        <f t="shared" si="1"/>
        <v>6.9193274460257317E-2</v>
      </c>
      <c r="AQ12" s="109">
        <f t="shared" si="1"/>
        <v>6.5503570187693275E-2</v>
      </c>
      <c r="AR12" s="109">
        <f t="shared" si="1"/>
        <v>6.2943660791461783E-2</v>
      </c>
      <c r="AS12" s="109">
        <f t="shared" si="1"/>
        <v>5.8423851255049078E-2</v>
      </c>
      <c r="AT12" s="109">
        <f t="shared" si="1"/>
        <v>5.9459757092460964E-2</v>
      </c>
      <c r="AU12" s="109">
        <f t="shared" si="1"/>
        <v>5.5664370726784415E-2</v>
      </c>
      <c r="AV12" s="109">
        <f t="shared" si="1"/>
        <v>4.6824760303983248E-2</v>
      </c>
      <c r="AW12" s="111">
        <f t="shared" si="1"/>
        <v>3.9120484309908561E-2</v>
      </c>
      <c r="AX12" s="109">
        <f t="shared" si="1"/>
        <v>3.047060474135983E-2</v>
      </c>
      <c r="AY12" s="118">
        <f t="shared" si="1"/>
        <v>2.5132464305879443E-2</v>
      </c>
      <c r="BA12" s="117">
        <f t="shared" si="5"/>
        <v>1.3307233296629839E-2</v>
      </c>
      <c r="BB12" s="109">
        <f t="shared" si="2"/>
        <v>1.5074921919903653E-2</v>
      </c>
      <c r="BC12" s="109">
        <f t="shared" si="2"/>
        <v>1.1922275447676149E-2</v>
      </c>
      <c r="BD12" s="109">
        <f t="shared" si="2"/>
        <v>8.9052862769829627E-3</v>
      </c>
      <c r="BE12" s="109">
        <f t="shared" si="2"/>
        <v>9.37387327413239E-3</v>
      </c>
      <c r="BF12" s="109">
        <f t="shared" si="2"/>
        <v>1.8969054349847442E-2</v>
      </c>
      <c r="BG12" s="109">
        <f t="shared" si="2"/>
        <v>4.6185067237219629E-2</v>
      </c>
      <c r="BH12" s="109">
        <f t="shared" si="2"/>
        <v>7.8139393739055749E-2</v>
      </c>
      <c r="BI12" s="109">
        <f t="shared" si="2"/>
        <v>0.10568969100726372</v>
      </c>
      <c r="BJ12" s="109">
        <f t="shared" si="2"/>
        <v>0.10381140280312412</v>
      </c>
      <c r="BK12" s="109">
        <f t="shared" si="2"/>
        <v>9.6355184706183053E-2</v>
      </c>
      <c r="BL12" s="109">
        <f t="shared" si="2"/>
        <v>8.3741362357512283E-2</v>
      </c>
      <c r="BM12" s="109">
        <f t="shared" si="2"/>
        <v>7.0109289707959585E-2</v>
      </c>
      <c r="BN12" s="110">
        <f t="shared" si="2"/>
        <v>5.8855742528801692E-2</v>
      </c>
      <c r="BO12" s="111">
        <f t="shared" si="2"/>
        <v>5.0689609005552895E-2</v>
      </c>
      <c r="BP12" s="110">
        <f t="shared" si="2"/>
        <v>4.3367107773942093E-2</v>
      </c>
      <c r="BQ12" s="109">
        <f t="shared" si="2"/>
        <v>3.7076083267582882E-2</v>
      </c>
      <c r="BR12" s="109">
        <f t="shared" si="2"/>
        <v>3.1845928333764227E-2</v>
      </c>
      <c r="BS12" s="111">
        <f t="shared" si="2"/>
        <v>3.0485013397645023E-2</v>
      </c>
      <c r="BT12" s="110">
        <f t="shared" si="2"/>
        <v>2.7289267527151013E-2</v>
      </c>
      <c r="BU12" s="111">
        <f t="shared" si="2"/>
        <v>2.1517739414059305E-2</v>
      </c>
      <c r="BV12" s="109">
        <f t="shared" si="2"/>
        <v>1.5747112858434817E-2</v>
      </c>
      <c r="BW12" s="109">
        <f t="shared" si="2"/>
        <v>1.1509946876637067E-2</v>
      </c>
      <c r="BX12" s="118">
        <f t="shared" si="2"/>
        <v>1.0032412892938327E-2</v>
      </c>
    </row>
    <row r="13" spans="1:76" x14ac:dyDescent="0.35">
      <c r="A13" s="104">
        <v>8</v>
      </c>
      <c r="C13" s="117">
        <f t="shared" si="3"/>
        <v>7.0414510565280156E-2</v>
      </c>
      <c r="D13" s="109">
        <f t="shared" si="0"/>
        <v>6.078960122234188E-2</v>
      </c>
      <c r="E13" s="109">
        <f t="shared" si="0"/>
        <v>5.0319335199381289E-2</v>
      </c>
      <c r="F13" s="109">
        <f t="shared" si="0"/>
        <v>4.064274713398569E-2</v>
      </c>
      <c r="G13" s="109">
        <f t="shared" si="0"/>
        <v>3.4562604924877317E-2</v>
      </c>
      <c r="H13" s="109">
        <f t="shared" si="0"/>
        <v>3.1471923902187643E-2</v>
      </c>
      <c r="I13" s="109">
        <f t="shared" si="0"/>
        <v>3.1298940345538338E-2</v>
      </c>
      <c r="J13" s="109">
        <f t="shared" si="0"/>
        <v>2.950007360491582E-2</v>
      </c>
      <c r="K13" s="109">
        <f t="shared" si="0"/>
        <v>2.4218196280416642E-2</v>
      </c>
      <c r="L13" s="109">
        <f t="shared" si="0"/>
        <v>2.0866359315726075E-2</v>
      </c>
      <c r="M13" s="109">
        <f t="shared" si="0"/>
        <v>1.9777960529124946E-2</v>
      </c>
      <c r="N13" s="109">
        <f t="shared" si="0"/>
        <v>1.9722119837646476E-2</v>
      </c>
      <c r="O13" s="109">
        <f t="shared" si="0"/>
        <v>1.9833522190773119E-2</v>
      </c>
      <c r="P13" s="110">
        <f t="shared" si="0"/>
        <v>1.8524061514258755E-2</v>
      </c>
      <c r="Q13" s="111">
        <f t="shared" si="0"/>
        <v>2.1560840408822064E-2</v>
      </c>
      <c r="R13" s="110">
        <f t="shared" si="0"/>
        <v>2.5349892500479875E-2</v>
      </c>
      <c r="S13" s="109">
        <f t="shared" si="0"/>
        <v>3.220850557924964E-2</v>
      </c>
      <c r="T13" s="109">
        <f t="shared" si="0"/>
        <v>4.0029551088423834E-2</v>
      </c>
      <c r="U13" s="111">
        <f t="shared" si="0"/>
        <v>4.2790398853416088E-2</v>
      </c>
      <c r="V13" s="109">
        <f t="shared" si="0"/>
        <v>4.3969482029171496E-2</v>
      </c>
      <c r="W13" s="109">
        <f t="shared" si="0"/>
        <v>6.854611938713899E-2</v>
      </c>
      <c r="X13" s="109">
        <f t="shared" si="0"/>
        <v>8.7328044767899404E-2</v>
      </c>
      <c r="Y13" s="109">
        <f t="shared" si="0"/>
        <v>8.6540267124225051E-2</v>
      </c>
      <c r="Z13" s="118">
        <f t="shared" si="0"/>
        <v>7.9734941694719341E-2</v>
      </c>
      <c r="AB13" s="117">
        <f t="shared" si="4"/>
        <v>1.9306522364691554E-2</v>
      </c>
      <c r="AC13" s="109">
        <f t="shared" si="1"/>
        <v>1.5361973016229002E-2</v>
      </c>
      <c r="AD13" s="109">
        <f t="shared" si="1"/>
        <v>1.1535347873848828E-2</v>
      </c>
      <c r="AE13" s="109">
        <f t="shared" si="1"/>
        <v>9.0337890224524153E-3</v>
      </c>
      <c r="AF13" s="109">
        <f t="shared" si="1"/>
        <v>7.6838570591548543E-3</v>
      </c>
      <c r="AG13" s="109">
        <f t="shared" si="1"/>
        <v>1.0553666195789662E-2</v>
      </c>
      <c r="AH13" s="109">
        <f t="shared" si="1"/>
        <v>1.836712195734222E-2</v>
      </c>
      <c r="AI13" s="109">
        <f t="shared" si="1"/>
        <v>2.901461845430172E-2</v>
      </c>
      <c r="AJ13" s="109">
        <f t="shared" si="1"/>
        <v>4.6059509629829291E-2</v>
      </c>
      <c r="AK13" s="109">
        <f t="shared" si="1"/>
        <v>5.4743835979438459E-2</v>
      </c>
      <c r="AL13" s="109">
        <f t="shared" si="1"/>
        <v>6.3298799472509451E-2</v>
      </c>
      <c r="AM13" s="109">
        <f t="shared" si="1"/>
        <v>6.4734956656348569E-2</v>
      </c>
      <c r="AN13" s="109">
        <f t="shared" si="1"/>
        <v>6.7846370351886426E-2</v>
      </c>
      <c r="AO13" s="109">
        <f t="shared" si="1"/>
        <v>6.9722833791339728E-2</v>
      </c>
      <c r="AP13" s="110">
        <f t="shared" si="1"/>
        <v>6.9193274460257317E-2</v>
      </c>
      <c r="AQ13" s="109">
        <f t="shared" si="1"/>
        <v>6.5503570187693275E-2</v>
      </c>
      <c r="AR13" s="109">
        <f t="shared" si="1"/>
        <v>6.2943660791461783E-2</v>
      </c>
      <c r="AS13" s="109">
        <f t="shared" si="1"/>
        <v>5.8423851255049078E-2</v>
      </c>
      <c r="AT13" s="109">
        <f t="shared" si="1"/>
        <v>5.9459757092460964E-2</v>
      </c>
      <c r="AU13" s="109">
        <f t="shared" si="1"/>
        <v>5.5664370726784415E-2</v>
      </c>
      <c r="AV13" s="109">
        <f t="shared" si="1"/>
        <v>4.6824760303983248E-2</v>
      </c>
      <c r="AW13" s="111">
        <f t="shared" si="1"/>
        <v>3.9120484309908561E-2</v>
      </c>
      <c r="AX13" s="109">
        <f t="shared" si="1"/>
        <v>3.047060474135983E-2</v>
      </c>
      <c r="AY13" s="118">
        <f t="shared" si="1"/>
        <v>2.5132464305879443E-2</v>
      </c>
      <c r="BA13" s="117">
        <f t="shared" si="5"/>
        <v>1.3307233296629839E-2</v>
      </c>
      <c r="BB13" s="109">
        <f t="shared" si="2"/>
        <v>1.5074921919903653E-2</v>
      </c>
      <c r="BC13" s="109">
        <f t="shared" si="2"/>
        <v>1.1922275447676149E-2</v>
      </c>
      <c r="BD13" s="109">
        <f t="shared" si="2"/>
        <v>8.9052862769829627E-3</v>
      </c>
      <c r="BE13" s="109">
        <f t="shared" si="2"/>
        <v>9.37387327413239E-3</v>
      </c>
      <c r="BF13" s="109">
        <f t="shared" si="2"/>
        <v>1.8969054349847442E-2</v>
      </c>
      <c r="BG13" s="109">
        <f t="shared" si="2"/>
        <v>4.6185067237219629E-2</v>
      </c>
      <c r="BH13" s="109">
        <f t="shared" si="2"/>
        <v>7.8139393739055749E-2</v>
      </c>
      <c r="BI13" s="109">
        <f t="shared" si="2"/>
        <v>0.10568969100726372</v>
      </c>
      <c r="BJ13" s="109">
        <f t="shared" si="2"/>
        <v>0.10381140280312412</v>
      </c>
      <c r="BK13" s="109">
        <f t="shared" si="2"/>
        <v>9.6355184706183053E-2</v>
      </c>
      <c r="BL13" s="109">
        <f t="shared" si="2"/>
        <v>8.3741362357512283E-2</v>
      </c>
      <c r="BM13" s="109">
        <f t="shared" si="2"/>
        <v>7.0109289707959585E-2</v>
      </c>
      <c r="BN13" s="110">
        <f t="shared" si="2"/>
        <v>5.8855742528801692E-2</v>
      </c>
      <c r="BO13" s="111">
        <f t="shared" si="2"/>
        <v>5.0689609005552895E-2</v>
      </c>
      <c r="BP13" s="110">
        <f t="shared" si="2"/>
        <v>4.3367107773942093E-2</v>
      </c>
      <c r="BQ13" s="109">
        <f t="shared" si="2"/>
        <v>3.7076083267582882E-2</v>
      </c>
      <c r="BR13" s="109">
        <f t="shared" si="2"/>
        <v>3.1845928333764227E-2</v>
      </c>
      <c r="BS13" s="111">
        <f t="shared" si="2"/>
        <v>3.0485013397645023E-2</v>
      </c>
      <c r="BT13" s="110">
        <f t="shared" si="2"/>
        <v>2.7289267527151013E-2</v>
      </c>
      <c r="BU13" s="111">
        <f t="shared" si="2"/>
        <v>2.1517739414059305E-2</v>
      </c>
      <c r="BV13" s="109">
        <f t="shared" si="2"/>
        <v>1.5747112858434817E-2</v>
      </c>
      <c r="BW13" s="109">
        <f t="shared" si="2"/>
        <v>1.1509946876637067E-2</v>
      </c>
      <c r="BX13" s="118">
        <f t="shared" si="2"/>
        <v>1.0032412892938327E-2</v>
      </c>
    </row>
    <row r="14" spans="1:76" x14ac:dyDescent="0.35">
      <c r="A14" s="104">
        <v>9</v>
      </c>
      <c r="C14" s="119">
        <f t="shared" si="3"/>
        <v>7.0414510565280156E-2</v>
      </c>
      <c r="D14" s="120">
        <f t="shared" si="0"/>
        <v>6.078960122234188E-2</v>
      </c>
      <c r="E14" s="120">
        <f t="shared" si="0"/>
        <v>5.0319335199381289E-2</v>
      </c>
      <c r="F14" s="120">
        <f t="shared" si="0"/>
        <v>4.064274713398569E-2</v>
      </c>
      <c r="G14" s="120">
        <f t="shared" si="0"/>
        <v>3.4562604924877317E-2</v>
      </c>
      <c r="H14" s="120">
        <f t="shared" si="0"/>
        <v>3.1471923902187643E-2</v>
      </c>
      <c r="I14" s="120">
        <f t="shared" si="0"/>
        <v>3.1298940345538338E-2</v>
      </c>
      <c r="J14" s="120">
        <f t="shared" si="0"/>
        <v>2.950007360491582E-2</v>
      </c>
      <c r="K14" s="120">
        <f t="shared" si="0"/>
        <v>2.4218196280416642E-2</v>
      </c>
      <c r="L14" s="120">
        <f t="shared" si="0"/>
        <v>2.0866359315726075E-2</v>
      </c>
      <c r="M14" s="120">
        <f t="shared" si="0"/>
        <v>1.9777960529124946E-2</v>
      </c>
      <c r="N14" s="120">
        <f t="shared" si="0"/>
        <v>1.9722119837646476E-2</v>
      </c>
      <c r="O14" s="120">
        <f t="shared" si="0"/>
        <v>1.9833522190773119E-2</v>
      </c>
      <c r="P14" s="121">
        <f t="shared" si="0"/>
        <v>1.8524061514258755E-2</v>
      </c>
      <c r="Q14" s="122">
        <f t="shared" si="0"/>
        <v>2.1560840408822064E-2</v>
      </c>
      <c r="R14" s="121">
        <f t="shared" si="0"/>
        <v>2.5349892500479875E-2</v>
      </c>
      <c r="S14" s="120">
        <f t="shared" si="0"/>
        <v>3.220850557924964E-2</v>
      </c>
      <c r="T14" s="120">
        <f t="shared" si="0"/>
        <v>4.0029551088423834E-2</v>
      </c>
      <c r="U14" s="122">
        <f t="shared" si="0"/>
        <v>4.2790398853416088E-2</v>
      </c>
      <c r="V14" s="120">
        <f t="shared" si="0"/>
        <v>4.3969482029171496E-2</v>
      </c>
      <c r="W14" s="120">
        <f t="shared" si="0"/>
        <v>6.854611938713899E-2</v>
      </c>
      <c r="X14" s="120">
        <f t="shared" si="0"/>
        <v>8.7328044767899404E-2</v>
      </c>
      <c r="Y14" s="120">
        <f t="shared" si="0"/>
        <v>8.6540267124225051E-2</v>
      </c>
      <c r="Z14" s="123">
        <f t="shared" si="0"/>
        <v>7.9734941694719341E-2</v>
      </c>
      <c r="AB14" s="119">
        <f t="shared" si="4"/>
        <v>1.9306522364691554E-2</v>
      </c>
      <c r="AC14" s="120">
        <f t="shared" si="1"/>
        <v>1.5361973016229002E-2</v>
      </c>
      <c r="AD14" s="120">
        <f t="shared" si="1"/>
        <v>1.1535347873848828E-2</v>
      </c>
      <c r="AE14" s="120">
        <f t="shared" si="1"/>
        <v>9.0337890224524153E-3</v>
      </c>
      <c r="AF14" s="120">
        <f t="shared" si="1"/>
        <v>7.6838570591548543E-3</v>
      </c>
      <c r="AG14" s="120">
        <f t="shared" si="1"/>
        <v>1.0553666195789662E-2</v>
      </c>
      <c r="AH14" s="120">
        <f t="shared" si="1"/>
        <v>1.836712195734222E-2</v>
      </c>
      <c r="AI14" s="120">
        <f t="shared" si="1"/>
        <v>2.901461845430172E-2</v>
      </c>
      <c r="AJ14" s="120">
        <f t="shared" si="1"/>
        <v>4.6059509629829291E-2</v>
      </c>
      <c r="AK14" s="120">
        <f t="shared" si="1"/>
        <v>5.4743835979438459E-2</v>
      </c>
      <c r="AL14" s="120">
        <f t="shared" si="1"/>
        <v>6.3298799472509451E-2</v>
      </c>
      <c r="AM14" s="120">
        <f t="shared" si="1"/>
        <v>6.4734956656348569E-2</v>
      </c>
      <c r="AN14" s="120">
        <f t="shared" si="1"/>
        <v>6.7846370351886426E-2</v>
      </c>
      <c r="AO14" s="120">
        <f t="shared" si="1"/>
        <v>6.9722833791339728E-2</v>
      </c>
      <c r="AP14" s="121">
        <f t="shared" si="1"/>
        <v>6.9193274460257317E-2</v>
      </c>
      <c r="AQ14" s="120">
        <f t="shared" si="1"/>
        <v>6.5503570187693275E-2</v>
      </c>
      <c r="AR14" s="120">
        <f t="shared" si="1"/>
        <v>6.2943660791461783E-2</v>
      </c>
      <c r="AS14" s="120">
        <f t="shared" si="1"/>
        <v>5.8423851255049078E-2</v>
      </c>
      <c r="AT14" s="120">
        <f t="shared" si="1"/>
        <v>5.9459757092460964E-2</v>
      </c>
      <c r="AU14" s="120">
        <f t="shared" si="1"/>
        <v>5.5664370726784415E-2</v>
      </c>
      <c r="AV14" s="120">
        <f t="shared" si="1"/>
        <v>4.6824760303983248E-2</v>
      </c>
      <c r="AW14" s="122">
        <f t="shared" si="1"/>
        <v>3.9120484309908561E-2</v>
      </c>
      <c r="AX14" s="120">
        <f t="shared" si="1"/>
        <v>3.047060474135983E-2</v>
      </c>
      <c r="AY14" s="123">
        <f t="shared" si="1"/>
        <v>2.5132464305879443E-2</v>
      </c>
      <c r="BA14" s="119">
        <f t="shared" si="5"/>
        <v>1.3307233296629839E-2</v>
      </c>
      <c r="BB14" s="120">
        <f t="shared" si="2"/>
        <v>1.5074921919903653E-2</v>
      </c>
      <c r="BC14" s="120">
        <f t="shared" si="2"/>
        <v>1.1922275447676149E-2</v>
      </c>
      <c r="BD14" s="120">
        <f t="shared" si="2"/>
        <v>8.9052862769829627E-3</v>
      </c>
      <c r="BE14" s="120">
        <f t="shared" si="2"/>
        <v>9.37387327413239E-3</v>
      </c>
      <c r="BF14" s="120">
        <f t="shared" si="2"/>
        <v>1.8969054349847442E-2</v>
      </c>
      <c r="BG14" s="120">
        <f t="shared" si="2"/>
        <v>4.6185067237219629E-2</v>
      </c>
      <c r="BH14" s="120">
        <f t="shared" si="2"/>
        <v>7.8139393739055749E-2</v>
      </c>
      <c r="BI14" s="120">
        <f t="shared" si="2"/>
        <v>0.10568969100726372</v>
      </c>
      <c r="BJ14" s="120">
        <f t="shared" si="2"/>
        <v>0.10381140280312412</v>
      </c>
      <c r="BK14" s="120">
        <f t="shared" si="2"/>
        <v>9.6355184706183053E-2</v>
      </c>
      <c r="BL14" s="120">
        <f t="shared" si="2"/>
        <v>8.3741362357512283E-2</v>
      </c>
      <c r="BM14" s="120">
        <f t="shared" si="2"/>
        <v>7.0109289707959585E-2</v>
      </c>
      <c r="BN14" s="121">
        <f t="shared" si="2"/>
        <v>5.8855742528801692E-2</v>
      </c>
      <c r="BO14" s="122">
        <f t="shared" si="2"/>
        <v>5.0689609005552895E-2</v>
      </c>
      <c r="BP14" s="121">
        <f t="shared" si="2"/>
        <v>4.3367107773942093E-2</v>
      </c>
      <c r="BQ14" s="120">
        <f t="shared" si="2"/>
        <v>3.7076083267582882E-2</v>
      </c>
      <c r="BR14" s="120">
        <f t="shared" si="2"/>
        <v>3.1845928333764227E-2</v>
      </c>
      <c r="BS14" s="122">
        <f t="shared" si="2"/>
        <v>3.0485013397645023E-2</v>
      </c>
      <c r="BT14" s="121">
        <f t="shared" si="2"/>
        <v>2.7289267527151013E-2</v>
      </c>
      <c r="BU14" s="122">
        <f t="shared" si="2"/>
        <v>2.1517739414059305E-2</v>
      </c>
      <c r="BV14" s="120">
        <f t="shared" si="2"/>
        <v>1.5747112858434817E-2</v>
      </c>
      <c r="BW14" s="120">
        <f t="shared" si="2"/>
        <v>1.1509946876637067E-2</v>
      </c>
      <c r="BX14" s="123">
        <f t="shared" si="2"/>
        <v>1.0032412892938327E-2</v>
      </c>
    </row>
    <row r="15" spans="1:76" x14ac:dyDescent="0.35">
      <c r="A15" s="104">
        <v>10</v>
      </c>
      <c r="C15" s="105">
        <f t="shared" si="3"/>
        <v>7.0414510565280156E-2</v>
      </c>
      <c r="D15" s="105">
        <f t="shared" si="0"/>
        <v>6.078960122234188E-2</v>
      </c>
      <c r="E15" s="105">
        <f t="shared" si="0"/>
        <v>5.0319335199381289E-2</v>
      </c>
      <c r="F15" s="105">
        <f t="shared" si="0"/>
        <v>4.064274713398569E-2</v>
      </c>
      <c r="G15" s="105">
        <f t="shared" si="0"/>
        <v>3.4562604924877317E-2</v>
      </c>
      <c r="H15" s="105">
        <f t="shared" si="0"/>
        <v>3.1471923902187643E-2</v>
      </c>
      <c r="I15" s="105">
        <f t="shared" si="0"/>
        <v>3.1298940345538338E-2</v>
      </c>
      <c r="J15" s="105">
        <f t="shared" si="0"/>
        <v>2.950007360491582E-2</v>
      </c>
      <c r="K15" s="105">
        <f t="shared" si="0"/>
        <v>2.4218196280416642E-2</v>
      </c>
      <c r="L15" s="105">
        <f t="shared" si="0"/>
        <v>2.0866359315726075E-2</v>
      </c>
      <c r="M15" s="105">
        <f t="shared" si="0"/>
        <v>1.9777960529124946E-2</v>
      </c>
      <c r="N15" s="105">
        <f t="shared" si="0"/>
        <v>1.9722119837646476E-2</v>
      </c>
      <c r="O15" s="105">
        <f t="shared" si="0"/>
        <v>1.9833522190773119E-2</v>
      </c>
      <c r="P15" s="110">
        <f t="shared" si="0"/>
        <v>1.8524061514258755E-2</v>
      </c>
      <c r="Q15" s="111">
        <f t="shared" si="0"/>
        <v>2.1560840408822064E-2</v>
      </c>
      <c r="R15" s="110">
        <f t="shared" si="0"/>
        <v>2.5349892500479875E-2</v>
      </c>
      <c r="S15" s="109">
        <f t="shared" si="0"/>
        <v>3.220850557924964E-2</v>
      </c>
      <c r="T15" s="109">
        <f t="shared" si="0"/>
        <v>4.0029551088423834E-2</v>
      </c>
      <c r="U15" s="111">
        <f t="shared" si="0"/>
        <v>4.2790398853416088E-2</v>
      </c>
      <c r="V15" s="105">
        <f t="shared" si="0"/>
        <v>4.3969482029171496E-2</v>
      </c>
      <c r="W15" s="105">
        <f t="shared" si="0"/>
        <v>6.854611938713899E-2</v>
      </c>
      <c r="X15" s="105">
        <f t="shared" si="0"/>
        <v>8.7328044767899404E-2</v>
      </c>
      <c r="Y15" s="105">
        <f t="shared" si="0"/>
        <v>8.6540267124225051E-2</v>
      </c>
      <c r="Z15" s="105">
        <f t="shared" si="0"/>
        <v>7.9734941694719341E-2</v>
      </c>
      <c r="AB15" s="105">
        <f t="shared" si="4"/>
        <v>1.9306522364691554E-2</v>
      </c>
      <c r="AC15" s="105">
        <f t="shared" si="1"/>
        <v>1.5361973016229002E-2</v>
      </c>
      <c r="AD15" s="105">
        <f t="shared" si="1"/>
        <v>1.1535347873848828E-2</v>
      </c>
      <c r="AE15" s="105">
        <f t="shared" si="1"/>
        <v>9.0337890224524153E-3</v>
      </c>
      <c r="AF15" s="105">
        <f t="shared" si="1"/>
        <v>7.6838570591548543E-3</v>
      </c>
      <c r="AG15" s="105">
        <f t="shared" si="1"/>
        <v>1.0553666195789662E-2</v>
      </c>
      <c r="AH15" s="105">
        <f t="shared" si="1"/>
        <v>1.836712195734222E-2</v>
      </c>
      <c r="AI15" s="105">
        <f t="shared" si="1"/>
        <v>2.901461845430172E-2</v>
      </c>
      <c r="AJ15" s="105">
        <f t="shared" si="1"/>
        <v>4.6059509629829291E-2</v>
      </c>
      <c r="AK15" s="105">
        <f t="shared" si="1"/>
        <v>5.4743835979438459E-2</v>
      </c>
      <c r="AL15" s="105">
        <f t="shared" si="1"/>
        <v>6.3298799472509451E-2</v>
      </c>
      <c r="AM15" s="105">
        <f t="shared" si="1"/>
        <v>6.4734956656348569E-2</v>
      </c>
      <c r="AN15" s="105">
        <f t="shared" si="1"/>
        <v>6.7846370351886426E-2</v>
      </c>
      <c r="AO15" s="109">
        <f t="shared" si="1"/>
        <v>6.9722833791339728E-2</v>
      </c>
      <c r="AP15" s="110">
        <f t="shared" si="1"/>
        <v>6.9193274460257317E-2</v>
      </c>
      <c r="AQ15" s="109">
        <f t="shared" si="1"/>
        <v>6.5503570187693275E-2</v>
      </c>
      <c r="AR15" s="109">
        <f t="shared" si="1"/>
        <v>6.2943660791461783E-2</v>
      </c>
      <c r="AS15" s="109">
        <f t="shared" si="1"/>
        <v>5.8423851255049078E-2</v>
      </c>
      <c r="AT15" s="109">
        <f t="shared" si="1"/>
        <v>5.9459757092460964E-2</v>
      </c>
      <c r="AU15" s="109">
        <f t="shared" si="1"/>
        <v>5.5664370726784415E-2</v>
      </c>
      <c r="AV15" s="109">
        <f t="shared" si="1"/>
        <v>4.6824760303983248E-2</v>
      </c>
      <c r="AW15" s="111">
        <f t="shared" si="1"/>
        <v>3.9120484309908561E-2</v>
      </c>
      <c r="AX15" s="105">
        <f t="shared" si="1"/>
        <v>3.047060474135983E-2</v>
      </c>
      <c r="AY15" s="105">
        <f t="shared" si="1"/>
        <v>2.5132464305879443E-2</v>
      </c>
      <c r="BA15" s="105">
        <f t="shared" si="5"/>
        <v>1.3307233296629839E-2</v>
      </c>
      <c r="BB15" s="105">
        <f t="shared" si="2"/>
        <v>1.5074921919903653E-2</v>
      </c>
      <c r="BC15" s="105">
        <f t="shared" si="2"/>
        <v>1.1922275447676149E-2</v>
      </c>
      <c r="BD15" s="105">
        <f t="shared" si="2"/>
        <v>8.9052862769829627E-3</v>
      </c>
      <c r="BE15" s="105">
        <f t="shared" si="2"/>
        <v>9.37387327413239E-3</v>
      </c>
      <c r="BF15" s="105">
        <f t="shared" si="2"/>
        <v>1.8969054349847442E-2</v>
      </c>
      <c r="BG15" s="105">
        <f t="shared" si="2"/>
        <v>4.6185067237219629E-2</v>
      </c>
      <c r="BH15" s="105">
        <f t="shared" si="2"/>
        <v>7.8139393739055749E-2</v>
      </c>
      <c r="BI15" s="105">
        <f t="shared" si="2"/>
        <v>0.10568969100726372</v>
      </c>
      <c r="BJ15" s="105">
        <f t="shared" si="2"/>
        <v>0.10381140280312412</v>
      </c>
      <c r="BK15" s="105">
        <f t="shared" si="2"/>
        <v>9.6355184706183053E-2</v>
      </c>
      <c r="BL15" s="105">
        <f t="shared" si="2"/>
        <v>8.3741362357512283E-2</v>
      </c>
      <c r="BM15" s="105">
        <f t="shared" si="2"/>
        <v>7.0109289707959585E-2</v>
      </c>
      <c r="BN15" s="110">
        <f t="shared" si="2"/>
        <v>5.8855742528801692E-2</v>
      </c>
      <c r="BO15" s="111">
        <f t="shared" si="2"/>
        <v>5.0689609005552895E-2</v>
      </c>
      <c r="BP15" s="110">
        <f t="shared" si="2"/>
        <v>4.3367107773942093E-2</v>
      </c>
      <c r="BQ15" s="109">
        <f t="shared" si="2"/>
        <v>3.7076083267582882E-2</v>
      </c>
      <c r="BR15" s="109">
        <f t="shared" si="2"/>
        <v>3.1845928333764227E-2</v>
      </c>
      <c r="BS15" s="111">
        <f t="shared" si="2"/>
        <v>3.0485013397645023E-2</v>
      </c>
      <c r="BT15" s="110">
        <f t="shared" si="2"/>
        <v>2.7289267527151013E-2</v>
      </c>
      <c r="BU15" s="111">
        <f t="shared" si="2"/>
        <v>2.1517739414059305E-2</v>
      </c>
      <c r="BV15" s="105">
        <f t="shared" si="2"/>
        <v>1.5747112858434817E-2</v>
      </c>
      <c r="BW15" s="105">
        <f t="shared" si="2"/>
        <v>1.1509946876637067E-2</v>
      </c>
      <c r="BX15" s="105">
        <f t="shared" si="2"/>
        <v>1.0032412892938327E-2</v>
      </c>
    </row>
    <row r="16" spans="1:76" x14ac:dyDescent="0.35">
      <c r="A16" s="104">
        <v>11</v>
      </c>
      <c r="C16" s="105">
        <f t="shared" si="3"/>
        <v>7.0414510565280156E-2</v>
      </c>
      <c r="D16" s="105">
        <f t="shared" si="0"/>
        <v>6.078960122234188E-2</v>
      </c>
      <c r="E16" s="105">
        <f t="shared" si="0"/>
        <v>5.0319335199381289E-2</v>
      </c>
      <c r="F16" s="105">
        <f t="shared" si="0"/>
        <v>4.064274713398569E-2</v>
      </c>
      <c r="G16" s="105">
        <f t="shared" si="0"/>
        <v>3.4562604924877317E-2</v>
      </c>
      <c r="H16" s="105">
        <f t="shared" si="0"/>
        <v>3.1471923902187643E-2</v>
      </c>
      <c r="I16" s="105">
        <f t="shared" si="0"/>
        <v>3.1298940345538338E-2</v>
      </c>
      <c r="J16" s="105">
        <f t="shared" si="0"/>
        <v>2.950007360491582E-2</v>
      </c>
      <c r="K16" s="105">
        <f t="shared" si="0"/>
        <v>2.4218196280416642E-2</v>
      </c>
      <c r="L16" s="105">
        <f t="shared" si="0"/>
        <v>2.0866359315726075E-2</v>
      </c>
      <c r="M16" s="105">
        <f t="shared" si="0"/>
        <v>1.9777960529124946E-2</v>
      </c>
      <c r="N16" s="105">
        <f t="shared" si="0"/>
        <v>1.9722119837646476E-2</v>
      </c>
      <c r="O16" s="105">
        <f t="shared" si="0"/>
        <v>1.9833522190773119E-2</v>
      </c>
      <c r="P16" s="110">
        <f t="shared" si="0"/>
        <v>1.8524061514258755E-2</v>
      </c>
      <c r="Q16" s="111">
        <f t="shared" si="0"/>
        <v>2.1560840408822064E-2</v>
      </c>
      <c r="R16" s="110">
        <f t="shared" si="0"/>
        <v>2.5349892500479875E-2</v>
      </c>
      <c r="S16" s="109">
        <f t="shared" si="0"/>
        <v>3.220850557924964E-2</v>
      </c>
      <c r="T16" s="109">
        <f t="shared" si="0"/>
        <v>4.0029551088423834E-2</v>
      </c>
      <c r="U16" s="111">
        <f t="shared" si="0"/>
        <v>4.2790398853416088E-2</v>
      </c>
      <c r="V16" s="105">
        <f t="shared" si="0"/>
        <v>4.3969482029171496E-2</v>
      </c>
      <c r="W16" s="105">
        <f t="shared" si="0"/>
        <v>6.854611938713899E-2</v>
      </c>
      <c r="X16" s="105">
        <f t="shared" si="0"/>
        <v>8.7328044767899404E-2</v>
      </c>
      <c r="Y16" s="105">
        <f t="shared" si="0"/>
        <v>8.6540267124225051E-2</v>
      </c>
      <c r="Z16" s="105">
        <f t="shared" si="0"/>
        <v>7.9734941694719341E-2</v>
      </c>
      <c r="AB16" s="105">
        <f t="shared" si="4"/>
        <v>1.9306522364691554E-2</v>
      </c>
      <c r="AC16" s="105">
        <f t="shared" si="1"/>
        <v>1.5361973016229002E-2</v>
      </c>
      <c r="AD16" s="105">
        <f t="shared" si="1"/>
        <v>1.1535347873848828E-2</v>
      </c>
      <c r="AE16" s="105">
        <f t="shared" si="1"/>
        <v>9.0337890224524153E-3</v>
      </c>
      <c r="AF16" s="105">
        <f t="shared" si="1"/>
        <v>7.6838570591548543E-3</v>
      </c>
      <c r="AG16" s="105">
        <f t="shared" si="1"/>
        <v>1.0553666195789662E-2</v>
      </c>
      <c r="AH16" s="105">
        <f t="shared" si="1"/>
        <v>1.836712195734222E-2</v>
      </c>
      <c r="AI16" s="105">
        <f t="shared" si="1"/>
        <v>2.901461845430172E-2</v>
      </c>
      <c r="AJ16" s="105">
        <f t="shared" si="1"/>
        <v>4.6059509629829291E-2</v>
      </c>
      <c r="AK16" s="105">
        <f t="shared" si="1"/>
        <v>5.4743835979438459E-2</v>
      </c>
      <c r="AL16" s="105">
        <f t="shared" si="1"/>
        <v>6.3298799472509451E-2</v>
      </c>
      <c r="AM16" s="105">
        <f t="shared" si="1"/>
        <v>6.4734956656348569E-2</v>
      </c>
      <c r="AN16" s="105">
        <f t="shared" si="1"/>
        <v>6.7846370351886426E-2</v>
      </c>
      <c r="AO16" s="109">
        <f t="shared" si="1"/>
        <v>6.9722833791339728E-2</v>
      </c>
      <c r="AP16" s="110">
        <f t="shared" si="1"/>
        <v>6.9193274460257317E-2</v>
      </c>
      <c r="AQ16" s="109">
        <f t="shared" si="1"/>
        <v>6.5503570187693275E-2</v>
      </c>
      <c r="AR16" s="109">
        <f t="shared" si="1"/>
        <v>6.2943660791461783E-2</v>
      </c>
      <c r="AS16" s="109">
        <f t="shared" si="1"/>
        <v>5.8423851255049078E-2</v>
      </c>
      <c r="AT16" s="109">
        <f t="shared" si="1"/>
        <v>5.9459757092460964E-2</v>
      </c>
      <c r="AU16" s="109">
        <f t="shared" si="1"/>
        <v>5.5664370726784415E-2</v>
      </c>
      <c r="AV16" s="109">
        <f t="shared" si="1"/>
        <v>4.6824760303983248E-2</v>
      </c>
      <c r="AW16" s="111">
        <f t="shared" si="1"/>
        <v>3.9120484309908561E-2</v>
      </c>
      <c r="AX16" s="105">
        <f t="shared" si="1"/>
        <v>3.047060474135983E-2</v>
      </c>
      <c r="AY16" s="105">
        <f t="shared" si="1"/>
        <v>2.5132464305879443E-2</v>
      </c>
      <c r="BA16" s="105">
        <f t="shared" si="5"/>
        <v>1.3307233296629839E-2</v>
      </c>
      <c r="BB16" s="105">
        <f t="shared" si="2"/>
        <v>1.5074921919903653E-2</v>
      </c>
      <c r="BC16" s="105">
        <f t="shared" si="2"/>
        <v>1.1922275447676149E-2</v>
      </c>
      <c r="BD16" s="105">
        <f t="shared" si="2"/>
        <v>8.9052862769829627E-3</v>
      </c>
      <c r="BE16" s="105">
        <f t="shared" si="2"/>
        <v>9.37387327413239E-3</v>
      </c>
      <c r="BF16" s="105">
        <f t="shared" si="2"/>
        <v>1.8969054349847442E-2</v>
      </c>
      <c r="BG16" s="105">
        <f t="shared" si="2"/>
        <v>4.6185067237219629E-2</v>
      </c>
      <c r="BH16" s="105">
        <f t="shared" si="2"/>
        <v>7.8139393739055749E-2</v>
      </c>
      <c r="BI16" s="105">
        <f t="shared" si="2"/>
        <v>0.10568969100726372</v>
      </c>
      <c r="BJ16" s="105">
        <f t="shared" si="2"/>
        <v>0.10381140280312412</v>
      </c>
      <c r="BK16" s="105">
        <f t="shared" si="2"/>
        <v>9.6355184706183053E-2</v>
      </c>
      <c r="BL16" s="105">
        <f t="shared" si="2"/>
        <v>8.3741362357512283E-2</v>
      </c>
      <c r="BM16" s="105">
        <f t="shared" si="2"/>
        <v>7.0109289707959585E-2</v>
      </c>
      <c r="BN16" s="110">
        <f t="shared" si="2"/>
        <v>5.8855742528801692E-2</v>
      </c>
      <c r="BO16" s="111">
        <f t="shared" si="2"/>
        <v>5.0689609005552895E-2</v>
      </c>
      <c r="BP16" s="110">
        <f t="shared" si="2"/>
        <v>4.3367107773942093E-2</v>
      </c>
      <c r="BQ16" s="109">
        <f t="shared" si="2"/>
        <v>3.7076083267582882E-2</v>
      </c>
      <c r="BR16" s="109">
        <f t="shared" si="2"/>
        <v>3.1845928333764227E-2</v>
      </c>
      <c r="BS16" s="111">
        <f t="shared" si="2"/>
        <v>3.0485013397645023E-2</v>
      </c>
      <c r="BT16" s="110">
        <f t="shared" si="2"/>
        <v>2.7289267527151013E-2</v>
      </c>
      <c r="BU16" s="111">
        <f t="shared" si="2"/>
        <v>2.1517739414059305E-2</v>
      </c>
      <c r="BV16" s="105">
        <f t="shared" si="2"/>
        <v>1.5747112858434817E-2</v>
      </c>
      <c r="BW16" s="105">
        <f t="shared" si="2"/>
        <v>1.1509946876637067E-2</v>
      </c>
      <c r="BX16" s="105">
        <f t="shared" si="2"/>
        <v>1.0032412892938327E-2</v>
      </c>
    </row>
    <row r="17" spans="1:76" ht="15" thickBot="1" x14ac:dyDescent="0.4">
      <c r="A17" s="104">
        <v>12</v>
      </c>
      <c r="C17" s="105">
        <f t="shared" si="3"/>
        <v>7.0414510565280156E-2</v>
      </c>
      <c r="D17" s="105">
        <f t="shared" si="0"/>
        <v>6.078960122234188E-2</v>
      </c>
      <c r="E17" s="105">
        <f t="shared" si="0"/>
        <v>5.0319335199381289E-2</v>
      </c>
      <c r="F17" s="105">
        <f t="shared" si="0"/>
        <v>4.064274713398569E-2</v>
      </c>
      <c r="G17" s="105">
        <f t="shared" si="0"/>
        <v>3.4562604924877317E-2</v>
      </c>
      <c r="H17" s="105">
        <f t="shared" si="0"/>
        <v>3.1471923902187643E-2</v>
      </c>
      <c r="I17" s="105">
        <f t="shared" si="0"/>
        <v>3.1298940345538338E-2</v>
      </c>
      <c r="J17" s="105">
        <f t="shared" si="0"/>
        <v>2.950007360491582E-2</v>
      </c>
      <c r="K17" s="105">
        <f t="shared" si="0"/>
        <v>2.4218196280416642E-2</v>
      </c>
      <c r="L17" s="105">
        <f t="shared" si="0"/>
        <v>2.0866359315726075E-2</v>
      </c>
      <c r="M17" s="105">
        <f t="shared" si="0"/>
        <v>1.9777960529124946E-2</v>
      </c>
      <c r="N17" s="105">
        <f t="shared" si="0"/>
        <v>1.9722119837646476E-2</v>
      </c>
      <c r="O17" s="105">
        <f t="shared" si="0"/>
        <v>1.9833522190773119E-2</v>
      </c>
      <c r="P17" s="124">
        <f t="shared" si="0"/>
        <v>1.8524061514258755E-2</v>
      </c>
      <c r="Q17" s="125">
        <f t="shared" si="0"/>
        <v>2.1560840408822064E-2</v>
      </c>
      <c r="R17" s="124">
        <f t="shared" si="0"/>
        <v>2.5349892500479875E-2</v>
      </c>
      <c r="S17" s="126">
        <f t="shared" si="0"/>
        <v>3.220850557924964E-2</v>
      </c>
      <c r="T17" s="126">
        <f t="shared" si="0"/>
        <v>4.0029551088423834E-2</v>
      </c>
      <c r="U17" s="125">
        <f t="shared" ref="U17:Z17" si="6">U47</f>
        <v>4.2790398853416088E-2</v>
      </c>
      <c r="V17" s="105">
        <f t="shared" si="6"/>
        <v>4.3969482029171496E-2</v>
      </c>
      <c r="W17" s="105">
        <f t="shared" si="6"/>
        <v>6.854611938713899E-2</v>
      </c>
      <c r="X17" s="105">
        <f t="shared" si="6"/>
        <v>8.7328044767899404E-2</v>
      </c>
      <c r="Y17" s="105">
        <f t="shared" si="6"/>
        <v>8.6540267124225051E-2</v>
      </c>
      <c r="Z17" s="105">
        <f t="shared" si="6"/>
        <v>7.9734941694719341E-2</v>
      </c>
      <c r="AB17" s="105">
        <f t="shared" si="4"/>
        <v>1.9306522364691554E-2</v>
      </c>
      <c r="AC17" s="105">
        <f t="shared" si="1"/>
        <v>1.5361973016229002E-2</v>
      </c>
      <c r="AD17" s="105">
        <f t="shared" si="1"/>
        <v>1.1535347873848828E-2</v>
      </c>
      <c r="AE17" s="105">
        <f t="shared" si="1"/>
        <v>9.0337890224524153E-3</v>
      </c>
      <c r="AF17" s="105">
        <f t="shared" si="1"/>
        <v>7.6838570591548543E-3</v>
      </c>
      <c r="AG17" s="105">
        <f t="shared" si="1"/>
        <v>1.0553666195789662E-2</v>
      </c>
      <c r="AH17" s="105">
        <f t="shared" si="1"/>
        <v>1.836712195734222E-2</v>
      </c>
      <c r="AI17" s="105">
        <f t="shared" si="1"/>
        <v>2.901461845430172E-2</v>
      </c>
      <c r="AJ17" s="105">
        <f t="shared" si="1"/>
        <v>4.6059509629829291E-2</v>
      </c>
      <c r="AK17" s="105">
        <f t="shared" si="1"/>
        <v>5.4743835979438459E-2</v>
      </c>
      <c r="AL17" s="105">
        <f t="shared" si="1"/>
        <v>6.3298799472509451E-2</v>
      </c>
      <c r="AM17" s="105">
        <f t="shared" si="1"/>
        <v>6.4734956656348569E-2</v>
      </c>
      <c r="AN17" s="105">
        <f t="shared" si="1"/>
        <v>6.7846370351886426E-2</v>
      </c>
      <c r="AO17" s="109">
        <f t="shared" si="1"/>
        <v>6.9722833791339728E-2</v>
      </c>
      <c r="AP17" s="124">
        <f t="shared" si="1"/>
        <v>6.9193274460257317E-2</v>
      </c>
      <c r="AQ17" s="126">
        <f t="shared" si="1"/>
        <v>6.5503570187693275E-2</v>
      </c>
      <c r="AR17" s="126">
        <f t="shared" si="1"/>
        <v>6.2943660791461783E-2</v>
      </c>
      <c r="AS17" s="126">
        <f t="shared" si="1"/>
        <v>5.8423851255049078E-2</v>
      </c>
      <c r="AT17" s="126">
        <f t="shared" ref="AT17:AY17" si="7">AT47</f>
        <v>5.9459757092460964E-2</v>
      </c>
      <c r="AU17" s="126">
        <f t="shared" si="7"/>
        <v>5.5664370726784415E-2</v>
      </c>
      <c r="AV17" s="126">
        <f t="shared" si="7"/>
        <v>4.6824760303983248E-2</v>
      </c>
      <c r="AW17" s="125">
        <f t="shared" si="7"/>
        <v>3.9120484309908561E-2</v>
      </c>
      <c r="AX17" s="105">
        <f t="shared" si="7"/>
        <v>3.047060474135983E-2</v>
      </c>
      <c r="AY17" s="105">
        <f t="shared" si="7"/>
        <v>2.5132464305879443E-2</v>
      </c>
      <c r="BA17" s="105">
        <f t="shared" si="5"/>
        <v>1.3307233296629839E-2</v>
      </c>
      <c r="BB17" s="105">
        <f t="shared" si="2"/>
        <v>1.5074921919903653E-2</v>
      </c>
      <c r="BC17" s="105">
        <f t="shared" si="2"/>
        <v>1.1922275447676149E-2</v>
      </c>
      <c r="BD17" s="105">
        <f t="shared" si="2"/>
        <v>8.9052862769829627E-3</v>
      </c>
      <c r="BE17" s="105">
        <f t="shared" si="2"/>
        <v>9.37387327413239E-3</v>
      </c>
      <c r="BF17" s="105">
        <f t="shared" si="2"/>
        <v>1.8969054349847442E-2</v>
      </c>
      <c r="BG17" s="105">
        <f t="shared" si="2"/>
        <v>4.6185067237219629E-2</v>
      </c>
      <c r="BH17" s="105">
        <f t="shared" si="2"/>
        <v>7.8139393739055749E-2</v>
      </c>
      <c r="BI17" s="105">
        <f t="shared" si="2"/>
        <v>0.10568969100726372</v>
      </c>
      <c r="BJ17" s="105">
        <f t="shared" si="2"/>
        <v>0.10381140280312412</v>
      </c>
      <c r="BK17" s="105">
        <f t="shared" si="2"/>
        <v>9.6355184706183053E-2</v>
      </c>
      <c r="BL17" s="105">
        <f t="shared" si="2"/>
        <v>8.3741362357512283E-2</v>
      </c>
      <c r="BM17" s="105">
        <f t="shared" si="2"/>
        <v>7.0109289707959585E-2</v>
      </c>
      <c r="BN17" s="124">
        <f t="shared" si="2"/>
        <v>5.8855742528801692E-2</v>
      </c>
      <c r="BO17" s="125">
        <f t="shared" si="2"/>
        <v>5.0689609005552895E-2</v>
      </c>
      <c r="BP17" s="124">
        <f t="shared" si="2"/>
        <v>4.3367107773942093E-2</v>
      </c>
      <c r="BQ17" s="126">
        <f t="shared" si="2"/>
        <v>3.7076083267582882E-2</v>
      </c>
      <c r="BR17" s="126">
        <f t="shared" si="2"/>
        <v>3.1845928333764227E-2</v>
      </c>
      <c r="BS17" s="125">
        <f t="shared" ref="BS17:BX17" si="8">BS47</f>
        <v>3.0485013397645023E-2</v>
      </c>
      <c r="BT17" s="124">
        <f t="shared" si="8"/>
        <v>2.7289267527151013E-2</v>
      </c>
      <c r="BU17" s="125">
        <f t="shared" si="8"/>
        <v>2.1517739414059305E-2</v>
      </c>
      <c r="BV17" s="105">
        <f t="shared" si="8"/>
        <v>1.5747112858434817E-2</v>
      </c>
      <c r="BW17" s="105">
        <f t="shared" si="8"/>
        <v>1.1509946876637067E-2</v>
      </c>
      <c r="BX17" s="105">
        <f t="shared" si="8"/>
        <v>1.0032412892938327E-2</v>
      </c>
    </row>
    <row r="19" spans="1:76" ht="15" thickBot="1" x14ac:dyDescent="0.4">
      <c r="D19" s="2" t="s">
        <v>167</v>
      </c>
      <c r="K19" s="50"/>
      <c r="L19" s="50"/>
      <c r="M19" s="50"/>
      <c r="N19" s="50"/>
      <c r="O19" s="50"/>
      <c r="AC19" s="2" t="s">
        <v>70</v>
      </c>
      <c r="BB19" s="2" t="s">
        <v>67</v>
      </c>
      <c r="BI19" s="223" t="s">
        <v>108</v>
      </c>
      <c r="BJ19" s="224"/>
      <c r="BK19" s="224"/>
      <c r="BL19" s="224"/>
      <c r="BM19" s="224"/>
      <c r="BN19" s="224"/>
    </row>
    <row r="20" spans="1:76" x14ac:dyDescent="0.35">
      <c r="D20" s="127" t="s">
        <v>168</v>
      </c>
      <c r="E20" s="128"/>
      <c r="F20" s="129"/>
      <c r="G20" s="127" t="s">
        <v>169</v>
      </c>
      <c r="H20" s="128"/>
      <c r="I20" s="129"/>
      <c r="AC20" s="127" t="s">
        <v>168</v>
      </c>
      <c r="AD20" s="128"/>
      <c r="AE20" s="129"/>
      <c r="AF20" s="127" t="s">
        <v>169</v>
      </c>
      <c r="AG20" s="128"/>
      <c r="AH20" s="129"/>
      <c r="BB20" s="127" t="s">
        <v>168</v>
      </c>
      <c r="BC20" s="128"/>
      <c r="BD20" s="129"/>
      <c r="BE20" s="127" t="s">
        <v>169</v>
      </c>
      <c r="BF20" s="128"/>
      <c r="BG20" s="129"/>
      <c r="BI20" s="225" t="s">
        <v>168</v>
      </c>
      <c r="BJ20" s="226"/>
      <c r="BK20" s="227"/>
      <c r="BL20" s="225" t="s">
        <v>169</v>
      </c>
      <c r="BM20" s="226"/>
      <c r="BN20" s="227"/>
    </row>
    <row r="21" spans="1:76" x14ac:dyDescent="0.35">
      <c r="D21" s="130" t="s">
        <v>170</v>
      </c>
      <c r="F21" s="131">
        <f>(SUM(R11:V14)/SUM(C6:Z17))*(5/7)</f>
        <v>4.3892340488271717E-2</v>
      </c>
      <c r="G21" s="130" t="s">
        <v>170</v>
      </c>
      <c r="I21" s="131">
        <f>(SUM(R6:V10,R15:V17)/SUM(C6:Z17))*(5/7)</f>
        <v>8.7784680976543419E-2</v>
      </c>
      <c r="L21" s="84"/>
      <c r="AC21" s="130" t="s">
        <v>170</v>
      </c>
      <c r="AE21" s="131">
        <f>(SUM(AQ11:AU14)/SUM(AB6:AY17))*(5/7)</f>
        <v>7.1903621441297402E-2</v>
      </c>
      <c r="AF21" s="130" t="s">
        <v>170</v>
      </c>
      <c r="AH21" s="131">
        <f>(SUM(AR6:AV10,AP15:AW17)/SUM(AB6:AY17))*(5/7)</f>
        <v>0.16595138025187445</v>
      </c>
      <c r="BB21" s="130" t="s">
        <v>170</v>
      </c>
      <c r="BD21" s="131">
        <f>(SUM(BP11:BS14)/SUM(BA6:BX17))*(5/7)</f>
        <v>3.3993841136412892E-2</v>
      </c>
      <c r="BE21" s="130" t="s">
        <v>170</v>
      </c>
      <c r="BG21" s="131">
        <f>(SUM(BP6:BS10,BP15:BS17)/SUM(BA6:BX17))*(5/7)</f>
        <v>6.7987682272825783E-2</v>
      </c>
      <c r="BI21" s="228" t="s">
        <v>170</v>
      </c>
      <c r="BJ21" s="224"/>
      <c r="BK21" s="229">
        <f>(SUM(BO11:BV14)/SUM(BA6:BX17))*(5/7)</f>
        <v>6.143282418526954E-2</v>
      </c>
      <c r="BL21" s="228" t="s">
        <v>170</v>
      </c>
      <c r="BM21" s="224"/>
      <c r="BN21" s="229">
        <f>(SUM(BO6:BV10,BO15:BV17)/SUM(BA6:BX17))*(5/7)</f>
        <v>0.12286564837053911</v>
      </c>
    </row>
    <row r="22" spans="1:76" x14ac:dyDescent="0.35">
      <c r="D22" s="130" t="s">
        <v>171</v>
      </c>
      <c r="F22" s="131">
        <f>((SUM(I11:Q14)+SUM(W11:Z14))/SUM(C6:Z17))</f>
        <v>0.17581714900040193</v>
      </c>
      <c r="G22" s="130" t="s">
        <v>171</v>
      </c>
      <c r="I22" s="131">
        <f>((SUM(I6:Q10)*(SUM(I15:Q17)+SUM(W6:Z10)+SUM(W15:Z17))/SUM(F6:AC17)))</f>
        <v>0.32016356293436593</v>
      </c>
      <c r="AC22" s="130" t="s">
        <v>171</v>
      </c>
      <c r="AE22" s="131">
        <f>(SUM(AH11:AP14)+SUM(AV11:AY14))/SUM(AB7:AY18)</f>
        <v>0.22710168524159408</v>
      </c>
      <c r="AF22" s="130" t="s">
        <v>171</v>
      </c>
      <c r="AH22" s="131">
        <f>(SUM(AH7:AP10)+SUM(AH15:AP17)+SUM(AV7:AY10)+SUM(AV15:AY17))/SUM(AB7:AY18)</f>
        <v>0.39742794917278967</v>
      </c>
      <c r="BB22" s="130" t="s">
        <v>171</v>
      </c>
      <c r="BD22" s="131">
        <f>(SUM(BN11:BO14,BT11:BU14)/SUM(BA6:BX17))*(5/7)</f>
        <v>3.7702942494182108E-2</v>
      </c>
      <c r="BE22" s="130" t="s">
        <v>171</v>
      </c>
      <c r="BG22" s="131">
        <f>(SUM(BN6:BO10,BT6:BU10,BN15:BO17,BT15:BU17)/SUM(BA6:BX17))*(5/7)</f>
        <v>7.5405884988364202E-2</v>
      </c>
      <c r="BI22" s="228" t="s">
        <v>171</v>
      </c>
      <c r="BJ22" s="224"/>
      <c r="BK22" s="229"/>
      <c r="BL22" s="228" t="s">
        <v>171</v>
      </c>
      <c r="BM22" s="224"/>
      <c r="BN22" s="229"/>
    </row>
    <row r="23" spans="1:76" x14ac:dyDescent="0.35">
      <c r="D23" s="130" t="s">
        <v>172</v>
      </c>
      <c r="F23" s="131">
        <f>SUM(C11:Z14)/SUM(C6:Z17)-SUM(F21:F22)</f>
        <v>0.11362384384466029</v>
      </c>
      <c r="G23" s="130" t="s">
        <v>172</v>
      </c>
      <c r="I23" s="131">
        <f>SUM(C6:Z10,C15:Z17)/SUM(C6:Z17)-SUM(I21:I22)</f>
        <v>0.25871842275575807</v>
      </c>
      <c r="M23" s="132"/>
      <c r="AC23" s="130" t="s">
        <v>172</v>
      </c>
      <c r="AE23" s="131">
        <f>SUM(AB11:AY14)/SUM(AB6:AY17)-SUM(AE21:AE22)</f>
        <v>3.4328026650441323E-2</v>
      </c>
      <c r="AF23" s="130" t="s">
        <v>172</v>
      </c>
      <c r="AH23" s="131">
        <f>SUM(AB6:AY10,AB15:AY17)/SUM(AB6:AY17)-SUM(AH21:AH22)</f>
        <v>0.10328733724200179</v>
      </c>
      <c r="BB23" s="130" t="s">
        <v>172</v>
      </c>
      <c r="BD23" s="131">
        <f>SUM(BA11:BX14)/SUM(BA6:BX17)-SUM(BD21:BD22)</f>
        <v>0.26163654970273809</v>
      </c>
      <c r="BE23" s="130" t="s">
        <v>172</v>
      </c>
      <c r="BG23" s="131">
        <f>SUM(BA6:BX10,BA15:BX17)/SUM(BA6:BX17)-SUM(BG21:BG22)</f>
        <v>0.52327309940547617</v>
      </c>
      <c r="BI23" s="228" t="s">
        <v>172</v>
      </c>
      <c r="BJ23" s="224"/>
      <c r="BK23" s="229">
        <f>SUM(BA11:BX14)/SUM(BA6:BX17)-SUM(BK21:BK22)</f>
        <v>0.27190050914806357</v>
      </c>
      <c r="BL23" s="228" t="s">
        <v>172</v>
      </c>
      <c r="BM23" s="224"/>
      <c r="BN23" s="229">
        <f>SUM(BA6:BX10,BA15:BX17)/SUM(BA6:BX17)-SUM(BN21:BN22)</f>
        <v>0.54380101829612704</v>
      </c>
    </row>
    <row r="24" spans="1:76" ht="15" thickBot="1" x14ac:dyDescent="0.4">
      <c r="D24" s="133" t="s">
        <v>173</v>
      </c>
      <c r="E24" s="134"/>
      <c r="F24" s="135">
        <f>SUM(C11:Z14)/SUM(C6:Z17)</f>
        <v>0.33333333333333393</v>
      </c>
      <c r="G24" s="133" t="s">
        <v>173</v>
      </c>
      <c r="H24" s="134"/>
      <c r="I24" s="135">
        <f>SUM(C6:Z10,C15:Z17)/SUM(C6:Z17)</f>
        <v>0.66666666666666741</v>
      </c>
      <c r="AC24" s="133" t="s">
        <v>173</v>
      </c>
      <c r="AD24" s="134"/>
      <c r="AE24" s="135">
        <f>SUM(AB11:AY14)/SUM(AB6:AY17)</f>
        <v>0.33333333333333282</v>
      </c>
      <c r="AF24" s="133" t="s">
        <v>173</v>
      </c>
      <c r="AG24" s="134"/>
      <c r="AH24" s="135">
        <f>SUM(AB6:AY10,AB15:AY17)/SUM(AB6:AY17)</f>
        <v>0.66666666666666585</v>
      </c>
      <c r="BB24" s="133" t="s">
        <v>173</v>
      </c>
      <c r="BC24" s="134"/>
      <c r="BD24" s="135">
        <f>SUM(BA11:BX14)/SUM(BA6:BX17)</f>
        <v>0.33333333333333309</v>
      </c>
      <c r="BE24" s="133" t="s">
        <v>173</v>
      </c>
      <c r="BF24" s="134"/>
      <c r="BG24" s="135">
        <f>SUM(BA6:BX10,BA15:BX17)/SUM(BA6:BX17)</f>
        <v>0.66666666666666619</v>
      </c>
      <c r="BI24" s="230" t="s">
        <v>173</v>
      </c>
      <c r="BJ24" s="231"/>
      <c r="BK24" s="232">
        <f>SUM(BA11:BX14)/SUM(BA6:BX17)</f>
        <v>0.33333333333333309</v>
      </c>
      <c r="BL24" s="230" t="s">
        <v>173</v>
      </c>
      <c r="BM24" s="231"/>
      <c r="BN24" s="232">
        <f>SUM(BA6:BX10,BA15:BX17)/SUM(BA6:BX17)</f>
        <v>0.66666666666666619</v>
      </c>
    </row>
    <row r="25" spans="1:76" ht="15" thickBot="1" x14ac:dyDescent="0.4">
      <c r="D25" s="136" t="s">
        <v>174</v>
      </c>
      <c r="E25" s="137"/>
      <c r="F25" s="138">
        <f>AVERAGE(C11:Z14)/MAX(C11:Z14)</f>
        <v>0.47712812965649698</v>
      </c>
      <c r="G25" s="136" t="s">
        <v>174</v>
      </c>
      <c r="H25" s="137"/>
      <c r="I25" s="138">
        <f>AVERAGE(C6:Z10,C15:Z17)/MAX(C6:Z10,C15:Z17)</f>
        <v>0.47712812965649665</v>
      </c>
      <c r="AC25" s="136" t="s">
        <v>174</v>
      </c>
      <c r="AD25" s="137"/>
      <c r="AE25" s="138">
        <f>AVERAGE(AB11:AY14)/MAX(AB11:AY14)</f>
        <v>0.59760431986116525</v>
      </c>
      <c r="AF25" s="136" t="s">
        <v>174</v>
      </c>
      <c r="AG25" s="137"/>
      <c r="AH25" s="138">
        <f>AVERAGE(AB6:AY10,AB15:AY17)/MAX(AB6:AY10,AB15:AY17)</f>
        <v>0.59760431986116536</v>
      </c>
      <c r="AI25" s="50"/>
      <c r="BB25" s="136" t="s">
        <v>174</v>
      </c>
      <c r="BC25" s="137"/>
      <c r="BD25" s="138">
        <f>AVERAGE(BA11:BX14)/MAX(BA11:BX14)</f>
        <v>0.39423586415635409</v>
      </c>
      <c r="BE25" s="136" t="s">
        <v>174</v>
      </c>
      <c r="BF25" s="137"/>
      <c r="BG25" s="138">
        <f>AVERAGE(BA6:BX10,BA15:BX17)/MAX(BA6:BX10,BA15:BX17)</f>
        <v>0.39423586415635409</v>
      </c>
      <c r="BI25" s="233" t="s">
        <v>174</v>
      </c>
      <c r="BJ25" s="234"/>
      <c r="BK25" s="235">
        <f>AVERAGE(BA11:BX14)/MAX(BA11:BX14)</f>
        <v>0.39423586415635409</v>
      </c>
      <c r="BL25" s="233" t="s">
        <v>174</v>
      </c>
      <c r="BM25" s="234"/>
      <c r="BN25" s="235">
        <f>AVERAGE(BA6:BX10,BA15:BX17)/MAX(BA6:BX10,BA15:BX17)</f>
        <v>0.39423586415635409</v>
      </c>
    </row>
    <row r="26" spans="1:76" x14ac:dyDescent="0.35">
      <c r="K26" s="50"/>
      <c r="BI26" s="224"/>
      <c r="BJ26" s="224"/>
      <c r="BK26" s="224"/>
      <c r="BL26" s="224"/>
      <c r="BM26" s="224"/>
      <c r="BN26" s="224"/>
    </row>
    <row r="27" spans="1:76" x14ac:dyDescent="0.35">
      <c r="D27" s="38" t="s">
        <v>175</v>
      </c>
      <c r="F27" t="s">
        <v>176</v>
      </c>
      <c r="K27" s="50"/>
      <c r="AC27" s="38" t="s">
        <v>175</v>
      </c>
      <c r="AE27" t="s">
        <v>176</v>
      </c>
      <c r="BB27" s="38" t="s">
        <v>175</v>
      </c>
      <c r="BD27" t="s">
        <v>176</v>
      </c>
      <c r="BI27" s="236" t="s">
        <v>177</v>
      </c>
      <c r="BJ27" s="224"/>
      <c r="BK27" s="224" t="s">
        <v>178</v>
      </c>
      <c r="BL27" s="224"/>
      <c r="BM27" s="224"/>
      <c r="BN27" s="224"/>
    </row>
    <row r="28" spans="1:76" x14ac:dyDescent="0.35">
      <c r="D28" s="38" t="s">
        <v>179</v>
      </c>
      <c r="F28" t="s">
        <v>180</v>
      </c>
      <c r="AC28" s="38" t="s">
        <v>179</v>
      </c>
      <c r="AE28" t="s">
        <v>180</v>
      </c>
      <c r="BB28" s="38" t="s">
        <v>179</v>
      </c>
      <c r="BD28" t="s">
        <v>180</v>
      </c>
      <c r="BI28" s="236" t="s">
        <v>181</v>
      </c>
      <c r="BJ28" s="224"/>
      <c r="BK28" s="224" t="s">
        <v>182</v>
      </c>
      <c r="BL28" s="224"/>
      <c r="BM28" s="224"/>
      <c r="BN28" s="224"/>
    </row>
    <row r="29" spans="1:76" x14ac:dyDescent="0.35">
      <c r="D29" s="38" t="s">
        <v>183</v>
      </c>
      <c r="F29" t="s">
        <v>184</v>
      </c>
      <c r="AC29" s="38" t="s">
        <v>183</v>
      </c>
      <c r="AE29" t="s">
        <v>184</v>
      </c>
      <c r="BB29" s="38" t="s">
        <v>183</v>
      </c>
      <c r="BD29" t="s">
        <v>184</v>
      </c>
    </row>
    <row r="30" spans="1:76" x14ac:dyDescent="0.35">
      <c r="F30" s="132"/>
    </row>
    <row r="31" spans="1:76" x14ac:dyDescent="0.35">
      <c r="F31" s="132"/>
    </row>
    <row r="32" spans="1:76" x14ac:dyDescent="0.35">
      <c r="F32" s="132"/>
    </row>
    <row r="34" spans="1:78" x14ac:dyDescent="0.35">
      <c r="C34" s="2" t="s">
        <v>185</v>
      </c>
      <c r="AB34" s="2" t="s">
        <v>185</v>
      </c>
      <c r="BA34" s="2" t="s">
        <v>185</v>
      </c>
    </row>
    <row r="35" spans="1:78" x14ac:dyDescent="0.35">
      <c r="C35" s="3">
        <v>0</v>
      </c>
      <c r="D35" s="3">
        <v>1</v>
      </c>
      <c r="E35" s="3">
        <v>2</v>
      </c>
      <c r="F35" s="3">
        <v>3</v>
      </c>
      <c r="G35" s="3">
        <v>4</v>
      </c>
      <c r="H35" s="3">
        <v>5</v>
      </c>
      <c r="I35" s="3">
        <v>6</v>
      </c>
      <c r="J35" s="3">
        <v>7</v>
      </c>
      <c r="K35" s="3">
        <v>8</v>
      </c>
      <c r="L35" s="3">
        <v>9</v>
      </c>
      <c r="M35" s="3">
        <v>10</v>
      </c>
      <c r="N35" s="3">
        <v>11</v>
      </c>
      <c r="O35" s="3">
        <v>12</v>
      </c>
      <c r="P35" s="3">
        <v>13</v>
      </c>
      <c r="Q35" s="3">
        <v>14</v>
      </c>
      <c r="R35" s="3">
        <v>15</v>
      </c>
      <c r="S35" s="3">
        <v>16</v>
      </c>
      <c r="T35" s="3">
        <v>17</v>
      </c>
      <c r="U35" s="3">
        <v>18</v>
      </c>
      <c r="V35" s="3">
        <v>19</v>
      </c>
      <c r="W35" s="3">
        <v>20</v>
      </c>
      <c r="X35" s="3">
        <v>21</v>
      </c>
      <c r="Y35" s="3">
        <v>22</v>
      </c>
      <c r="Z35" s="3">
        <v>23</v>
      </c>
      <c r="AB35" s="3">
        <v>0</v>
      </c>
      <c r="AC35" s="3">
        <v>1</v>
      </c>
      <c r="AD35" s="3">
        <v>2</v>
      </c>
      <c r="AE35" s="3">
        <v>3</v>
      </c>
      <c r="AF35" s="3">
        <v>4</v>
      </c>
      <c r="AG35" s="3">
        <v>5</v>
      </c>
      <c r="AH35" s="3">
        <v>6</v>
      </c>
      <c r="AI35" s="3">
        <v>7</v>
      </c>
      <c r="AJ35" s="3">
        <v>8</v>
      </c>
      <c r="AK35" s="3">
        <v>9</v>
      </c>
      <c r="AL35" s="3">
        <v>10</v>
      </c>
      <c r="AM35" s="3">
        <v>11</v>
      </c>
      <c r="AN35" s="3">
        <v>12</v>
      </c>
      <c r="AO35" s="3">
        <v>13</v>
      </c>
      <c r="AP35" s="3">
        <v>14</v>
      </c>
      <c r="AQ35" s="3">
        <v>15</v>
      </c>
      <c r="AR35" s="3">
        <v>16</v>
      </c>
      <c r="AS35" s="3">
        <v>17</v>
      </c>
      <c r="AT35" s="3">
        <v>18</v>
      </c>
      <c r="AU35" s="3">
        <v>19</v>
      </c>
      <c r="AV35" s="3">
        <v>20</v>
      </c>
      <c r="AW35" s="3">
        <v>21</v>
      </c>
      <c r="AX35" s="3">
        <v>22</v>
      </c>
      <c r="AY35" s="3">
        <v>23</v>
      </c>
      <c r="BA35" s="3">
        <v>0</v>
      </c>
      <c r="BB35" s="3">
        <v>1</v>
      </c>
      <c r="BC35" s="3">
        <v>2</v>
      </c>
      <c r="BD35" s="3">
        <v>3</v>
      </c>
      <c r="BE35" s="3">
        <v>4</v>
      </c>
      <c r="BF35" s="3">
        <v>5</v>
      </c>
      <c r="BG35" s="3">
        <v>6</v>
      </c>
      <c r="BH35" s="3">
        <v>7</v>
      </c>
      <c r="BI35" s="3">
        <v>8</v>
      </c>
      <c r="BJ35" s="3">
        <v>9</v>
      </c>
      <c r="BK35" s="3">
        <v>10</v>
      </c>
      <c r="BL35" s="3">
        <v>11</v>
      </c>
      <c r="BM35" s="3">
        <v>12</v>
      </c>
      <c r="BN35" s="3">
        <v>13</v>
      </c>
      <c r="BO35" s="3">
        <v>14</v>
      </c>
      <c r="BP35" s="3">
        <v>15</v>
      </c>
      <c r="BQ35" s="3">
        <v>16</v>
      </c>
      <c r="BR35" s="3">
        <v>17</v>
      </c>
      <c r="BS35" s="3">
        <v>18</v>
      </c>
      <c r="BT35" s="3">
        <v>19</v>
      </c>
      <c r="BU35" s="3">
        <v>20</v>
      </c>
      <c r="BV35" s="3">
        <v>21</v>
      </c>
      <c r="BW35" s="3">
        <v>22</v>
      </c>
      <c r="BX35" s="3">
        <v>23</v>
      </c>
    </row>
    <row r="36" spans="1:78" x14ac:dyDescent="0.35">
      <c r="A36" s="85">
        <v>1</v>
      </c>
      <c r="C36" s="180">
        <v>7.0414510565280156E-2</v>
      </c>
      <c r="D36" s="180">
        <v>6.078960122234188E-2</v>
      </c>
      <c r="E36" s="180">
        <v>5.0319335199381289E-2</v>
      </c>
      <c r="F36" s="180">
        <v>4.064274713398569E-2</v>
      </c>
      <c r="G36" s="180">
        <v>3.4562604924877317E-2</v>
      </c>
      <c r="H36" s="180">
        <v>3.1471923902187643E-2</v>
      </c>
      <c r="I36" s="180">
        <v>3.1298940345538338E-2</v>
      </c>
      <c r="J36" s="180">
        <v>2.950007360491582E-2</v>
      </c>
      <c r="K36" s="180">
        <v>2.4218196280416642E-2</v>
      </c>
      <c r="L36" s="180">
        <v>2.0866359315726075E-2</v>
      </c>
      <c r="M36" s="180">
        <v>1.9777960529124946E-2</v>
      </c>
      <c r="N36" s="180">
        <v>1.9722119837646476E-2</v>
      </c>
      <c r="O36" s="180">
        <v>1.9833522190773119E-2</v>
      </c>
      <c r="P36" s="180">
        <v>1.8524061514258755E-2</v>
      </c>
      <c r="Q36" s="180">
        <v>2.1560840408822064E-2</v>
      </c>
      <c r="R36" s="180">
        <v>2.5349892500479875E-2</v>
      </c>
      <c r="S36" s="180">
        <v>3.220850557924964E-2</v>
      </c>
      <c r="T36" s="180">
        <v>4.0029551088423834E-2</v>
      </c>
      <c r="U36" s="180">
        <v>4.2790398853416088E-2</v>
      </c>
      <c r="V36" s="180">
        <v>4.3969482029171496E-2</v>
      </c>
      <c r="W36" s="180">
        <v>6.854611938713899E-2</v>
      </c>
      <c r="X36" s="180">
        <v>8.7328044767899404E-2</v>
      </c>
      <c r="Y36" s="180">
        <v>8.6540267124225051E-2</v>
      </c>
      <c r="Z36" s="180">
        <v>7.9734941694719341E-2</v>
      </c>
      <c r="AB36" s="180">
        <v>1.9306522364691554E-2</v>
      </c>
      <c r="AC36" s="180">
        <v>1.5361973016229002E-2</v>
      </c>
      <c r="AD36" s="180">
        <v>1.1535347873848828E-2</v>
      </c>
      <c r="AE36" s="180">
        <v>9.0337890224524153E-3</v>
      </c>
      <c r="AF36" s="180">
        <v>7.6838570591548543E-3</v>
      </c>
      <c r="AG36" s="180">
        <v>1.0553666195789662E-2</v>
      </c>
      <c r="AH36" s="180">
        <v>1.836712195734222E-2</v>
      </c>
      <c r="AI36" s="180">
        <v>2.901461845430172E-2</v>
      </c>
      <c r="AJ36" s="180">
        <v>4.6059509629829291E-2</v>
      </c>
      <c r="AK36" s="180">
        <v>5.4743835979438459E-2</v>
      </c>
      <c r="AL36" s="180">
        <v>6.3298799472509451E-2</v>
      </c>
      <c r="AM36" s="180">
        <v>6.4734956656348569E-2</v>
      </c>
      <c r="AN36" s="180">
        <v>6.7846370351886426E-2</v>
      </c>
      <c r="AO36" s="180">
        <v>6.9722833791339728E-2</v>
      </c>
      <c r="AP36" s="180">
        <v>6.9193274460257317E-2</v>
      </c>
      <c r="AQ36" s="180">
        <v>6.5503570187693275E-2</v>
      </c>
      <c r="AR36" s="180">
        <v>6.2943660791461783E-2</v>
      </c>
      <c r="AS36" s="180">
        <v>5.8423851255049078E-2</v>
      </c>
      <c r="AT36" s="180">
        <v>5.9459757092460964E-2</v>
      </c>
      <c r="AU36" s="180">
        <v>5.5664370726784415E-2</v>
      </c>
      <c r="AV36" s="180">
        <v>4.6824760303983248E-2</v>
      </c>
      <c r="AW36" s="180">
        <v>3.9120484309908561E-2</v>
      </c>
      <c r="AX36" s="180">
        <v>3.047060474135983E-2</v>
      </c>
      <c r="AY36" s="180">
        <v>2.5132464305879443E-2</v>
      </c>
      <c r="BA36" s="180">
        <v>1.3307233296629839E-2</v>
      </c>
      <c r="BB36" s="180">
        <v>1.5074921919903653E-2</v>
      </c>
      <c r="BC36" s="180">
        <v>1.1922275447676149E-2</v>
      </c>
      <c r="BD36" s="180">
        <v>8.9052862769829627E-3</v>
      </c>
      <c r="BE36" s="180">
        <v>9.37387327413239E-3</v>
      </c>
      <c r="BF36" s="180">
        <v>1.8969054349847442E-2</v>
      </c>
      <c r="BG36" s="180">
        <v>4.6185067237219629E-2</v>
      </c>
      <c r="BH36" s="180">
        <v>7.8139393739055749E-2</v>
      </c>
      <c r="BI36" s="180">
        <v>0.10568969100726372</v>
      </c>
      <c r="BJ36" s="180">
        <v>0.10381140280312412</v>
      </c>
      <c r="BK36" s="180">
        <v>9.6355184706183053E-2</v>
      </c>
      <c r="BL36" s="180">
        <v>8.3741362357512283E-2</v>
      </c>
      <c r="BM36" s="180">
        <v>7.0109289707959585E-2</v>
      </c>
      <c r="BN36" s="180">
        <v>5.8855742528801692E-2</v>
      </c>
      <c r="BO36" s="180">
        <v>5.0689609005552895E-2</v>
      </c>
      <c r="BP36" s="180">
        <v>4.3367107773942093E-2</v>
      </c>
      <c r="BQ36" s="180">
        <v>3.7076083267582882E-2</v>
      </c>
      <c r="BR36" s="180">
        <v>3.1845928333764227E-2</v>
      </c>
      <c r="BS36" s="180">
        <v>3.0485013397645023E-2</v>
      </c>
      <c r="BT36" s="180">
        <v>2.7289267527151013E-2</v>
      </c>
      <c r="BU36" s="180">
        <v>2.1517739414059305E-2</v>
      </c>
      <c r="BV36" s="180">
        <v>1.5747112858434817E-2</v>
      </c>
      <c r="BW36" s="180">
        <v>1.1509946876637067E-2</v>
      </c>
      <c r="BX36" s="180">
        <v>1.0032412892938327E-2</v>
      </c>
      <c r="BZ36" s="91" t="s">
        <v>186</v>
      </c>
    </row>
    <row r="37" spans="1:78" x14ac:dyDescent="0.35">
      <c r="A37" s="85">
        <v>2</v>
      </c>
      <c r="C37" s="180">
        <v>7.0414510565280156E-2</v>
      </c>
      <c r="D37" s="180">
        <v>6.078960122234188E-2</v>
      </c>
      <c r="E37" s="180">
        <v>5.0319335199381289E-2</v>
      </c>
      <c r="F37" s="180">
        <v>4.064274713398569E-2</v>
      </c>
      <c r="G37" s="180">
        <v>3.4562604924877317E-2</v>
      </c>
      <c r="H37" s="180">
        <v>3.1471923902187643E-2</v>
      </c>
      <c r="I37" s="180">
        <v>3.1298940345538338E-2</v>
      </c>
      <c r="J37" s="180">
        <v>2.950007360491582E-2</v>
      </c>
      <c r="K37" s="180">
        <v>2.4218196280416642E-2</v>
      </c>
      <c r="L37" s="180">
        <v>2.0866359315726075E-2</v>
      </c>
      <c r="M37" s="180">
        <v>1.9777960529124946E-2</v>
      </c>
      <c r="N37" s="180">
        <v>1.9722119837646476E-2</v>
      </c>
      <c r="O37" s="180">
        <v>1.9833522190773119E-2</v>
      </c>
      <c r="P37" s="180">
        <v>1.8524061514258755E-2</v>
      </c>
      <c r="Q37" s="180">
        <v>2.1560840408822064E-2</v>
      </c>
      <c r="R37" s="180">
        <v>2.5349892500479875E-2</v>
      </c>
      <c r="S37" s="180">
        <v>3.220850557924964E-2</v>
      </c>
      <c r="T37" s="180">
        <v>4.0029551088423834E-2</v>
      </c>
      <c r="U37" s="180">
        <v>4.2790398853416088E-2</v>
      </c>
      <c r="V37" s="180">
        <v>4.3969482029171496E-2</v>
      </c>
      <c r="W37" s="180">
        <v>6.854611938713899E-2</v>
      </c>
      <c r="X37" s="180">
        <v>8.7328044767899404E-2</v>
      </c>
      <c r="Y37" s="180">
        <v>8.6540267124225051E-2</v>
      </c>
      <c r="Z37" s="180">
        <v>7.9734941694719341E-2</v>
      </c>
      <c r="AB37" s="180">
        <v>1.9306522364691554E-2</v>
      </c>
      <c r="AC37" s="180">
        <v>1.5361973016229002E-2</v>
      </c>
      <c r="AD37" s="180">
        <v>1.1535347873848828E-2</v>
      </c>
      <c r="AE37" s="180">
        <v>9.0337890224524153E-3</v>
      </c>
      <c r="AF37" s="180">
        <v>7.6838570591548543E-3</v>
      </c>
      <c r="AG37" s="180">
        <v>1.0553666195789662E-2</v>
      </c>
      <c r="AH37" s="180">
        <v>1.836712195734222E-2</v>
      </c>
      <c r="AI37" s="180">
        <v>2.901461845430172E-2</v>
      </c>
      <c r="AJ37" s="180">
        <v>4.6059509629829291E-2</v>
      </c>
      <c r="AK37" s="180">
        <v>5.4743835979438459E-2</v>
      </c>
      <c r="AL37" s="180">
        <v>6.3298799472509451E-2</v>
      </c>
      <c r="AM37" s="180">
        <v>6.4734956656348569E-2</v>
      </c>
      <c r="AN37" s="180">
        <v>6.7846370351886426E-2</v>
      </c>
      <c r="AO37" s="180">
        <v>6.9722833791339728E-2</v>
      </c>
      <c r="AP37" s="180">
        <v>6.9193274460257317E-2</v>
      </c>
      <c r="AQ37" s="180">
        <v>6.5503570187693275E-2</v>
      </c>
      <c r="AR37" s="180">
        <v>6.2943660791461783E-2</v>
      </c>
      <c r="AS37" s="180">
        <v>5.8423851255049078E-2</v>
      </c>
      <c r="AT37" s="180">
        <v>5.9459757092460964E-2</v>
      </c>
      <c r="AU37" s="180">
        <v>5.5664370726784415E-2</v>
      </c>
      <c r="AV37" s="180">
        <v>4.6824760303983248E-2</v>
      </c>
      <c r="AW37" s="180">
        <v>3.9120484309908561E-2</v>
      </c>
      <c r="AX37" s="180">
        <v>3.047060474135983E-2</v>
      </c>
      <c r="AY37" s="180">
        <v>2.5132464305879443E-2</v>
      </c>
      <c r="BA37" s="180">
        <v>1.3307233296629839E-2</v>
      </c>
      <c r="BB37" s="180">
        <v>1.5074921919903653E-2</v>
      </c>
      <c r="BC37" s="180">
        <v>1.1922275447676149E-2</v>
      </c>
      <c r="BD37" s="180">
        <v>8.9052862769829627E-3</v>
      </c>
      <c r="BE37" s="180">
        <v>9.37387327413239E-3</v>
      </c>
      <c r="BF37" s="180">
        <v>1.8969054349847442E-2</v>
      </c>
      <c r="BG37" s="180">
        <v>4.6185067237219629E-2</v>
      </c>
      <c r="BH37" s="180">
        <v>7.8139393739055749E-2</v>
      </c>
      <c r="BI37" s="180">
        <v>0.10568969100726372</v>
      </c>
      <c r="BJ37" s="180">
        <v>0.10381140280312412</v>
      </c>
      <c r="BK37" s="180">
        <v>9.6355184706183053E-2</v>
      </c>
      <c r="BL37" s="180">
        <v>8.3741362357512283E-2</v>
      </c>
      <c r="BM37" s="180">
        <v>7.0109289707959585E-2</v>
      </c>
      <c r="BN37" s="180">
        <v>5.8855742528801692E-2</v>
      </c>
      <c r="BO37" s="180">
        <v>5.0689609005552895E-2</v>
      </c>
      <c r="BP37" s="180">
        <v>4.3367107773942093E-2</v>
      </c>
      <c r="BQ37" s="180">
        <v>3.7076083267582882E-2</v>
      </c>
      <c r="BR37" s="180">
        <v>3.1845928333764227E-2</v>
      </c>
      <c r="BS37" s="180">
        <v>3.0485013397645023E-2</v>
      </c>
      <c r="BT37" s="180">
        <v>2.7289267527151013E-2</v>
      </c>
      <c r="BU37" s="180">
        <v>2.1517739414059305E-2</v>
      </c>
      <c r="BV37" s="180">
        <v>1.5747112858434817E-2</v>
      </c>
      <c r="BW37" s="180">
        <v>1.1509946876637067E-2</v>
      </c>
      <c r="BX37" s="180">
        <v>1.0032412892938327E-2</v>
      </c>
    </row>
    <row r="38" spans="1:78" x14ac:dyDescent="0.35">
      <c r="A38" s="85">
        <v>3</v>
      </c>
      <c r="C38" s="180">
        <v>7.0414510565280156E-2</v>
      </c>
      <c r="D38" s="180">
        <v>6.078960122234188E-2</v>
      </c>
      <c r="E38" s="180">
        <v>5.0319335199381289E-2</v>
      </c>
      <c r="F38" s="180">
        <v>4.064274713398569E-2</v>
      </c>
      <c r="G38" s="180">
        <v>3.4562604924877317E-2</v>
      </c>
      <c r="H38" s="180">
        <v>3.1471923902187643E-2</v>
      </c>
      <c r="I38" s="180">
        <v>3.1298940345538338E-2</v>
      </c>
      <c r="J38" s="180">
        <v>2.950007360491582E-2</v>
      </c>
      <c r="K38" s="180">
        <v>2.4218196280416642E-2</v>
      </c>
      <c r="L38" s="180">
        <v>2.0866359315726075E-2</v>
      </c>
      <c r="M38" s="180">
        <v>1.9777960529124946E-2</v>
      </c>
      <c r="N38" s="180">
        <v>1.9722119837646476E-2</v>
      </c>
      <c r="O38" s="180">
        <v>1.9833522190773119E-2</v>
      </c>
      <c r="P38" s="180">
        <v>1.8524061514258755E-2</v>
      </c>
      <c r="Q38" s="180">
        <v>2.1560840408822064E-2</v>
      </c>
      <c r="R38" s="180">
        <v>2.5349892500479875E-2</v>
      </c>
      <c r="S38" s="180">
        <v>3.220850557924964E-2</v>
      </c>
      <c r="T38" s="180">
        <v>4.0029551088423834E-2</v>
      </c>
      <c r="U38" s="180">
        <v>4.2790398853416088E-2</v>
      </c>
      <c r="V38" s="180">
        <v>4.3969482029171496E-2</v>
      </c>
      <c r="W38" s="180">
        <v>6.854611938713899E-2</v>
      </c>
      <c r="X38" s="180">
        <v>8.7328044767899404E-2</v>
      </c>
      <c r="Y38" s="180">
        <v>8.6540267124225051E-2</v>
      </c>
      <c r="Z38" s="180">
        <v>7.9734941694719341E-2</v>
      </c>
      <c r="AB38" s="180">
        <v>1.9306522364691554E-2</v>
      </c>
      <c r="AC38" s="180">
        <v>1.5361973016229002E-2</v>
      </c>
      <c r="AD38" s="180">
        <v>1.1535347873848828E-2</v>
      </c>
      <c r="AE38" s="180">
        <v>9.0337890224524153E-3</v>
      </c>
      <c r="AF38" s="180">
        <v>7.6838570591548543E-3</v>
      </c>
      <c r="AG38" s="180">
        <v>1.0553666195789662E-2</v>
      </c>
      <c r="AH38" s="180">
        <v>1.836712195734222E-2</v>
      </c>
      <c r="AI38" s="180">
        <v>2.901461845430172E-2</v>
      </c>
      <c r="AJ38" s="180">
        <v>4.6059509629829291E-2</v>
      </c>
      <c r="AK38" s="180">
        <v>5.4743835979438459E-2</v>
      </c>
      <c r="AL38" s="180">
        <v>6.3298799472509451E-2</v>
      </c>
      <c r="AM38" s="180">
        <v>6.4734956656348569E-2</v>
      </c>
      <c r="AN38" s="180">
        <v>6.7846370351886426E-2</v>
      </c>
      <c r="AO38" s="180">
        <v>6.9722833791339728E-2</v>
      </c>
      <c r="AP38" s="180">
        <v>6.9193274460257317E-2</v>
      </c>
      <c r="AQ38" s="180">
        <v>6.5503570187693275E-2</v>
      </c>
      <c r="AR38" s="180">
        <v>6.2943660791461783E-2</v>
      </c>
      <c r="AS38" s="180">
        <v>5.8423851255049078E-2</v>
      </c>
      <c r="AT38" s="180">
        <v>5.9459757092460964E-2</v>
      </c>
      <c r="AU38" s="180">
        <v>5.5664370726784415E-2</v>
      </c>
      <c r="AV38" s="180">
        <v>4.6824760303983248E-2</v>
      </c>
      <c r="AW38" s="180">
        <v>3.9120484309908561E-2</v>
      </c>
      <c r="AX38" s="180">
        <v>3.047060474135983E-2</v>
      </c>
      <c r="AY38" s="180">
        <v>2.5132464305879443E-2</v>
      </c>
      <c r="BA38" s="180">
        <v>1.3307233296629839E-2</v>
      </c>
      <c r="BB38" s="180">
        <v>1.5074921919903653E-2</v>
      </c>
      <c r="BC38" s="180">
        <v>1.1922275447676149E-2</v>
      </c>
      <c r="BD38" s="180">
        <v>8.9052862769829627E-3</v>
      </c>
      <c r="BE38" s="180">
        <v>9.37387327413239E-3</v>
      </c>
      <c r="BF38" s="180">
        <v>1.8969054349847442E-2</v>
      </c>
      <c r="BG38" s="180">
        <v>4.6185067237219629E-2</v>
      </c>
      <c r="BH38" s="180">
        <v>7.8139393739055749E-2</v>
      </c>
      <c r="BI38" s="180">
        <v>0.10568969100726372</v>
      </c>
      <c r="BJ38" s="180">
        <v>0.10381140280312412</v>
      </c>
      <c r="BK38" s="180">
        <v>9.6355184706183053E-2</v>
      </c>
      <c r="BL38" s="180">
        <v>8.3741362357512283E-2</v>
      </c>
      <c r="BM38" s="180">
        <v>7.0109289707959585E-2</v>
      </c>
      <c r="BN38" s="180">
        <v>5.8855742528801692E-2</v>
      </c>
      <c r="BO38" s="180">
        <v>5.0689609005552895E-2</v>
      </c>
      <c r="BP38" s="180">
        <v>4.3367107773942093E-2</v>
      </c>
      <c r="BQ38" s="180">
        <v>3.7076083267582882E-2</v>
      </c>
      <c r="BR38" s="180">
        <v>3.1845928333764227E-2</v>
      </c>
      <c r="BS38" s="180">
        <v>3.0485013397645023E-2</v>
      </c>
      <c r="BT38" s="180">
        <v>2.7289267527151013E-2</v>
      </c>
      <c r="BU38" s="180">
        <v>2.1517739414059305E-2</v>
      </c>
      <c r="BV38" s="180">
        <v>1.5747112858434817E-2</v>
      </c>
      <c r="BW38" s="180">
        <v>1.1509946876637067E-2</v>
      </c>
      <c r="BX38" s="180">
        <v>1.0032412892938327E-2</v>
      </c>
    </row>
    <row r="39" spans="1:78" x14ac:dyDescent="0.35">
      <c r="A39" s="85">
        <v>4</v>
      </c>
      <c r="C39" s="180">
        <v>7.0414510565280156E-2</v>
      </c>
      <c r="D39" s="180">
        <v>6.078960122234188E-2</v>
      </c>
      <c r="E39" s="180">
        <v>5.0319335199381289E-2</v>
      </c>
      <c r="F39" s="180">
        <v>4.064274713398569E-2</v>
      </c>
      <c r="G39" s="180">
        <v>3.4562604924877317E-2</v>
      </c>
      <c r="H39" s="180">
        <v>3.1471923902187643E-2</v>
      </c>
      <c r="I39" s="180">
        <v>3.1298940345538338E-2</v>
      </c>
      <c r="J39" s="180">
        <v>2.950007360491582E-2</v>
      </c>
      <c r="K39" s="180">
        <v>2.4218196280416642E-2</v>
      </c>
      <c r="L39" s="180">
        <v>2.0866359315726075E-2</v>
      </c>
      <c r="M39" s="180">
        <v>1.9777960529124946E-2</v>
      </c>
      <c r="N39" s="180">
        <v>1.9722119837646476E-2</v>
      </c>
      <c r="O39" s="180">
        <v>1.9833522190773119E-2</v>
      </c>
      <c r="P39" s="180">
        <v>1.8524061514258755E-2</v>
      </c>
      <c r="Q39" s="180">
        <v>2.1560840408822064E-2</v>
      </c>
      <c r="R39" s="180">
        <v>2.5349892500479875E-2</v>
      </c>
      <c r="S39" s="180">
        <v>3.220850557924964E-2</v>
      </c>
      <c r="T39" s="180">
        <v>4.0029551088423834E-2</v>
      </c>
      <c r="U39" s="180">
        <v>4.2790398853416088E-2</v>
      </c>
      <c r="V39" s="180">
        <v>4.3969482029171496E-2</v>
      </c>
      <c r="W39" s="180">
        <v>6.854611938713899E-2</v>
      </c>
      <c r="X39" s="180">
        <v>8.7328044767899404E-2</v>
      </c>
      <c r="Y39" s="180">
        <v>8.6540267124225051E-2</v>
      </c>
      <c r="Z39" s="180">
        <v>7.9734941694719341E-2</v>
      </c>
      <c r="AB39" s="180">
        <v>1.9306522364691554E-2</v>
      </c>
      <c r="AC39" s="180">
        <v>1.5361973016229002E-2</v>
      </c>
      <c r="AD39" s="180">
        <v>1.1535347873848828E-2</v>
      </c>
      <c r="AE39" s="180">
        <v>9.0337890224524153E-3</v>
      </c>
      <c r="AF39" s="180">
        <v>7.6838570591548543E-3</v>
      </c>
      <c r="AG39" s="180">
        <v>1.0553666195789662E-2</v>
      </c>
      <c r="AH39" s="180">
        <v>1.836712195734222E-2</v>
      </c>
      <c r="AI39" s="180">
        <v>2.901461845430172E-2</v>
      </c>
      <c r="AJ39" s="180">
        <v>4.6059509629829291E-2</v>
      </c>
      <c r="AK39" s="180">
        <v>5.4743835979438459E-2</v>
      </c>
      <c r="AL39" s="180">
        <v>6.3298799472509451E-2</v>
      </c>
      <c r="AM39" s="180">
        <v>6.4734956656348569E-2</v>
      </c>
      <c r="AN39" s="180">
        <v>6.7846370351886426E-2</v>
      </c>
      <c r="AO39" s="180">
        <v>6.9722833791339728E-2</v>
      </c>
      <c r="AP39" s="180">
        <v>6.9193274460257317E-2</v>
      </c>
      <c r="AQ39" s="180">
        <v>6.5503570187693275E-2</v>
      </c>
      <c r="AR39" s="180">
        <v>6.2943660791461783E-2</v>
      </c>
      <c r="AS39" s="180">
        <v>5.8423851255049078E-2</v>
      </c>
      <c r="AT39" s="180">
        <v>5.9459757092460964E-2</v>
      </c>
      <c r="AU39" s="180">
        <v>5.5664370726784415E-2</v>
      </c>
      <c r="AV39" s="180">
        <v>4.6824760303983248E-2</v>
      </c>
      <c r="AW39" s="180">
        <v>3.9120484309908561E-2</v>
      </c>
      <c r="AX39" s="180">
        <v>3.047060474135983E-2</v>
      </c>
      <c r="AY39" s="180">
        <v>2.5132464305879443E-2</v>
      </c>
      <c r="BA39" s="180">
        <v>1.3307233296629839E-2</v>
      </c>
      <c r="BB39" s="180">
        <v>1.5074921919903653E-2</v>
      </c>
      <c r="BC39" s="180">
        <v>1.1922275447676149E-2</v>
      </c>
      <c r="BD39" s="180">
        <v>8.9052862769829627E-3</v>
      </c>
      <c r="BE39" s="180">
        <v>9.37387327413239E-3</v>
      </c>
      <c r="BF39" s="180">
        <v>1.8969054349847442E-2</v>
      </c>
      <c r="BG39" s="180">
        <v>4.6185067237219629E-2</v>
      </c>
      <c r="BH39" s="180">
        <v>7.8139393739055749E-2</v>
      </c>
      <c r="BI39" s="180">
        <v>0.10568969100726372</v>
      </c>
      <c r="BJ39" s="180">
        <v>0.10381140280312412</v>
      </c>
      <c r="BK39" s="180">
        <v>9.6355184706183053E-2</v>
      </c>
      <c r="BL39" s="180">
        <v>8.3741362357512283E-2</v>
      </c>
      <c r="BM39" s="180">
        <v>7.0109289707959585E-2</v>
      </c>
      <c r="BN39" s="180">
        <v>5.8855742528801692E-2</v>
      </c>
      <c r="BO39" s="180">
        <v>5.0689609005552895E-2</v>
      </c>
      <c r="BP39" s="180">
        <v>4.3367107773942093E-2</v>
      </c>
      <c r="BQ39" s="180">
        <v>3.7076083267582882E-2</v>
      </c>
      <c r="BR39" s="180">
        <v>3.1845928333764227E-2</v>
      </c>
      <c r="BS39" s="180">
        <v>3.0485013397645023E-2</v>
      </c>
      <c r="BT39" s="180">
        <v>2.7289267527151013E-2</v>
      </c>
      <c r="BU39" s="180">
        <v>2.1517739414059305E-2</v>
      </c>
      <c r="BV39" s="180">
        <v>1.5747112858434817E-2</v>
      </c>
      <c r="BW39" s="180">
        <v>1.1509946876637067E-2</v>
      </c>
      <c r="BX39" s="180">
        <v>1.0032412892938327E-2</v>
      </c>
    </row>
    <row r="40" spans="1:78" x14ac:dyDescent="0.35">
      <c r="A40" s="85">
        <v>5</v>
      </c>
      <c r="C40" s="180">
        <v>7.0414510565280156E-2</v>
      </c>
      <c r="D40" s="180">
        <v>6.078960122234188E-2</v>
      </c>
      <c r="E40" s="180">
        <v>5.0319335199381289E-2</v>
      </c>
      <c r="F40" s="180">
        <v>4.064274713398569E-2</v>
      </c>
      <c r="G40" s="180">
        <v>3.4562604924877317E-2</v>
      </c>
      <c r="H40" s="180">
        <v>3.1471923902187643E-2</v>
      </c>
      <c r="I40" s="180">
        <v>3.1298940345538338E-2</v>
      </c>
      <c r="J40" s="180">
        <v>2.950007360491582E-2</v>
      </c>
      <c r="K40" s="180">
        <v>2.4218196280416642E-2</v>
      </c>
      <c r="L40" s="180">
        <v>2.0866359315726075E-2</v>
      </c>
      <c r="M40" s="180">
        <v>1.9777960529124946E-2</v>
      </c>
      <c r="N40" s="180">
        <v>1.9722119837646476E-2</v>
      </c>
      <c r="O40" s="180">
        <v>1.9833522190773119E-2</v>
      </c>
      <c r="P40" s="180">
        <v>1.8524061514258755E-2</v>
      </c>
      <c r="Q40" s="180">
        <v>2.1560840408822064E-2</v>
      </c>
      <c r="R40" s="180">
        <v>2.5349892500479875E-2</v>
      </c>
      <c r="S40" s="180">
        <v>3.220850557924964E-2</v>
      </c>
      <c r="T40" s="180">
        <v>4.0029551088423834E-2</v>
      </c>
      <c r="U40" s="180">
        <v>4.2790398853416088E-2</v>
      </c>
      <c r="V40" s="180">
        <v>4.3969482029171496E-2</v>
      </c>
      <c r="W40" s="180">
        <v>6.854611938713899E-2</v>
      </c>
      <c r="X40" s="180">
        <v>8.7328044767899404E-2</v>
      </c>
      <c r="Y40" s="180">
        <v>8.6540267124225051E-2</v>
      </c>
      <c r="Z40" s="180">
        <v>7.9734941694719341E-2</v>
      </c>
      <c r="AB40" s="180">
        <v>1.9306522364691554E-2</v>
      </c>
      <c r="AC40" s="180">
        <v>1.5361973016229002E-2</v>
      </c>
      <c r="AD40" s="180">
        <v>1.1535347873848828E-2</v>
      </c>
      <c r="AE40" s="180">
        <v>9.0337890224524153E-3</v>
      </c>
      <c r="AF40" s="180">
        <v>7.6838570591548543E-3</v>
      </c>
      <c r="AG40" s="180">
        <v>1.0553666195789662E-2</v>
      </c>
      <c r="AH40" s="180">
        <v>1.836712195734222E-2</v>
      </c>
      <c r="AI40" s="180">
        <v>2.901461845430172E-2</v>
      </c>
      <c r="AJ40" s="180">
        <v>4.6059509629829291E-2</v>
      </c>
      <c r="AK40" s="180">
        <v>5.4743835979438459E-2</v>
      </c>
      <c r="AL40" s="180">
        <v>6.3298799472509451E-2</v>
      </c>
      <c r="AM40" s="180">
        <v>6.4734956656348569E-2</v>
      </c>
      <c r="AN40" s="180">
        <v>6.7846370351886426E-2</v>
      </c>
      <c r="AO40" s="180">
        <v>6.9722833791339728E-2</v>
      </c>
      <c r="AP40" s="180">
        <v>6.9193274460257317E-2</v>
      </c>
      <c r="AQ40" s="180">
        <v>6.5503570187693275E-2</v>
      </c>
      <c r="AR40" s="180">
        <v>6.2943660791461783E-2</v>
      </c>
      <c r="AS40" s="180">
        <v>5.8423851255049078E-2</v>
      </c>
      <c r="AT40" s="180">
        <v>5.9459757092460964E-2</v>
      </c>
      <c r="AU40" s="180">
        <v>5.5664370726784415E-2</v>
      </c>
      <c r="AV40" s="180">
        <v>4.6824760303983248E-2</v>
      </c>
      <c r="AW40" s="180">
        <v>3.9120484309908561E-2</v>
      </c>
      <c r="AX40" s="180">
        <v>3.047060474135983E-2</v>
      </c>
      <c r="AY40" s="180">
        <v>2.5132464305879443E-2</v>
      </c>
      <c r="BA40" s="180">
        <v>1.3307233296629839E-2</v>
      </c>
      <c r="BB40" s="180">
        <v>1.5074921919903653E-2</v>
      </c>
      <c r="BC40" s="180">
        <v>1.1922275447676149E-2</v>
      </c>
      <c r="BD40" s="180">
        <v>8.9052862769829627E-3</v>
      </c>
      <c r="BE40" s="180">
        <v>9.37387327413239E-3</v>
      </c>
      <c r="BF40" s="180">
        <v>1.8969054349847442E-2</v>
      </c>
      <c r="BG40" s="180">
        <v>4.6185067237219629E-2</v>
      </c>
      <c r="BH40" s="180">
        <v>7.8139393739055749E-2</v>
      </c>
      <c r="BI40" s="180">
        <v>0.10568969100726372</v>
      </c>
      <c r="BJ40" s="180">
        <v>0.10381140280312412</v>
      </c>
      <c r="BK40" s="180">
        <v>9.6355184706183053E-2</v>
      </c>
      <c r="BL40" s="180">
        <v>8.3741362357512283E-2</v>
      </c>
      <c r="BM40" s="180">
        <v>7.0109289707959585E-2</v>
      </c>
      <c r="BN40" s="180">
        <v>5.8855742528801692E-2</v>
      </c>
      <c r="BO40" s="180">
        <v>5.0689609005552895E-2</v>
      </c>
      <c r="BP40" s="180">
        <v>4.3367107773942093E-2</v>
      </c>
      <c r="BQ40" s="180">
        <v>3.7076083267582882E-2</v>
      </c>
      <c r="BR40" s="180">
        <v>3.1845928333764227E-2</v>
      </c>
      <c r="BS40" s="180">
        <v>3.0485013397645023E-2</v>
      </c>
      <c r="BT40" s="180">
        <v>2.7289267527151013E-2</v>
      </c>
      <c r="BU40" s="180">
        <v>2.1517739414059305E-2</v>
      </c>
      <c r="BV40" s="180">
        <v>1.5747112858434817E-2</v>
      </c>
      <c r="BW40" s="180">
        <v>1.1509946876637067E-2</v>
      </c>
      <c r="BX40" s="180">
        <v>1.0032412892938327E-2</v>
      </c>
    </row>
    <row r="41" spans="1:78" x14ac:dyDescent="0.35">
      <c r="A41" s="85">
        <v>6</v>
      </c>
      <c r="C41" s="180">
        <v>7.0414510565280156E-2</v>
      </c>
      <c r="D41" s="180">
        <v>6.078960122234188E-2</v>
      </c>
      <c r="E41" s="180">
        <v>5.0319335199381289E-2</v>
      </c>
      <c r="F41" s="180">
        <v>4.064274713398569E-2</v>
      </c>
      <c r="G41" s="180">
        <v>3.4562604924877317E-2</v>
      </c>
      <c r="H41" s="180">
        <v>3.1471923902187643E-2</v>
      </c>
      <c r="I41" s="180">
        <v>3.1298940345538338E-2</v>
      </c>
      <c r="J41" s="180">
        <v>2.950007360491582E-2</v>
      </c>
      <c r="K41" s="180">
        <v>2.4218196280416642E-2</v>
      </c>
      <c r="L41" s="180">
        <v>2.0866359315726075E-2</v>
      </c>
      <c r="M41" s="180">
        <v>1.9777960529124946E-2</v>
      </c>
      <c r="N41" s="180">
        <v>1.9722119837646476E-2</v>
      </c>
      <c r="O41" s="180">
        <v>1.9833522190773119E-2</v>
      </c>
      <c r="P41" s="180">
        <v>1.8524061514258755E-2</v>
      </c>
      <c r="Q41" s="180">
        <v>2.1560840408822064E-2</v>
      </c>
      <c r="R41" s="180">
        <v>2.5349892500479875E-2</v>
      </c>
      <c r="S41" s="180">
        <v>3.220850557924964E-2</v>
      </c>
      <c r="T41" s="180">
        <v>4.0029551088423834E-2</v>
      </c>
      <c r="U41" s="180">
        <v>4.2790398853416088E-2</v>
      </c>
      <c r="V41" s="180">
        <v>4.3969482029171496E-2</v>
      </c>
      <c r="W41" s="180">
        <v>6.854611938713899E-2</v>
      </c>
      <c r="X41" s="180">
        <v>8.7328044767899404E-2</v>
      </c>
      <c r="Y41" s="180">
        <v>8.6540267124225051E-2</v>
      </c>
      <c r="Z41" s="180">
        <v>7.9734941694719341E-2</v>
      </c>
      <c r="AB41" s="180">
        <v>1.9306522364691554E-2</v>
      </c>
      <c r="AC41" s="180">
        <v>1.5361973016229002E-2</v>
      </c>
      <c r="AD41" s="180">
        <v>1.1535347873848828E-2</v>
      </c>
      <c r="AE41" s="180">
        <v>9.0337890224524153E-3</v>
      </c>
      <c r="AF41" s="180">
        <v>7.6838570591548543E-3</v>
      </c>
      <c r="AG41" s="180">
        <v>1.0553666195789662E-2</v>
      </c>
      <c r="AH41" s="180">
        <v>1.836712195734222E-2</v>
      </c>
      <c r="AI41" s="180">
        <v>2.901461845430172E-2</v>
      </c>
      <c r="AJ41" s="180">
        <v>4.6059509629829291E-2</v>
      </c>
      <c r="AK41" s="180">
        <v>5.4743835979438459E-2</v>
      </c>
      <c r="AL41" s="180">
        <v>6.3298799472509451E-2</v>
      </c>
      <c r="AM41" s="180">
        <v>6.4734956656348569E-2</v>
      </c>
      <c r="AN41" s="180">
        <v>6.7846370351886426E-2</v>
      </c>
      <c r="AO41" s="180">
        <v>6.9722833791339728E-2</v>
      </c>
      <c r="AP41" s="180">
        <v>6.9193274460257317E-2</v>
      </c>
      <c r="AQ41" s="180">
        <v>6.5503570187693275E-2</v>
      </c>
      <c r="AR41" s="180">
        <v>6.2943660791461783E-2</v>
      </c>
      <c r="AS41" s="180">
        <v>5.8423851255049078E-2</v>
      </c>
      <c r="AT41" s="180">
        <v>5.9459757092460964E-2</v>
      </c>
      <c r="AU41" s="180">
        <v>5.5664370726784415E-2</v>
      </c>
      <c r="AV41" s="180">
        <v>4.6824760303983248E-2</v>
      </c>
      <c r="AW41" s="180">
        <v>3.9120484309908561E-2</v>
      </c>
      <c r="AX41" s="180">
        <v>3.047060474135983E-2</v>
      </c>
      <c r="AY41" s="180">
        <v>2.5132464305879443E-2</v>
      </c>
      <c r="BA41" s="180">
        <v>1.3307233296629839E-2</v>
      </c>
      <c r="BB41" s="180">
        <v>1.5074921919903653E-2</v>
      </c>
      <c r="BC41" s="180">
        <v>1.1922275447676149E-2</v>
      </c>
      <c r="BD41" s="180">
        <v>8.9052862769829627E-3</v>
      </c>
      <c r="BE41" s="180">
        <v>9.37387327413239E-3</v>
      </c>
      <c r="BF41" s="180">
        <v>1.8969054349847442E-2</v>
      </c>
      <c r="BG41" s="180">
        <v>4.6185067237219629E-2</v>
      </c>
      <c r="BH41" s="180">
        <v>7.8139393739055749E-2</v>
      </c>
      <c r="BI41" s="180">
        <v>0.10568969100726372</v>
      </c>
      <c r="BJ41" s="180">
        <v>0.10381140280312412</v>
      </c>
      <c r="BK41" s="180">
        <v>9.6355184706183053E-2</v>
      </c>
      <c r="BL41" s="180">
        <v>8.3741362357512283E-2</v>
      </c>
      <c r="BM41" s="180">
        <v>7.0109289707959585E-2</v>
      </c>
      <c r="BN41" s="180">
        <v>5.8855742528801692E-2</v>
      </c>
      <c r="BO41" s="180">
        <v>5.0689609005552895E-2</v>
      </c>
      <c r="BP41" s="180">
        <v>4.3367107773942093E-2</v>
      </c>
      <c r="BQ41" s="180">
        <v>3.7076083267582882E-2</v>
      </c>
      <c r="BR41" s="180">
        <v>3.1845928333764227E-2</v>
      </c>
      <c r="BS41" s="180">
        <v>3.0485013397645023E-2</v>
      </c>
      <c r="BT41" s="180">
        <v>2.7289267527151013E-2</v>
      </c>
      <c r="BU41" s="180">
        <v>2.1517739414059305E-2</v>
      </c>
      <c r="BV41" s="180">
        <v>1.5747112858434817E-2</v>
      </c>
      <c r="BW41" s="180">
        <v>1.1509946876637067E-2</v>
      </c>
      <c r="BX41" s="180">
        <v>1.0032412892938327E-2</v>
      </c>
    </row>
    <row r="42" spans="1:78" x14ac:dyDescent="0.35">
      <c r="A42" s="85">
        <v>7</v>
      </c>
      <c r="C42" s="180">
        <v>7.0414510565280156E-2</v>
      </c>
      <c r="D42" s="180">
        <v>6.078960122234188E-2</v>
      </c>
      <c r="E42" s="180">
        <v>5.0319335199381289E-2</v>
      </c>
      <c r="F42" s="180">
        <v>4.064274713398569E-2</v>
      </c>
      <c r="G42" s="180">
        <v>3.4562604924877317E-2</v>
      </c>
      <c r="H42" s="180">
        <v>3.1471923902187643E-2</v>
      </c>
      <c r="I42" s="180">
        <v>3.1298940345538338E-2</v>
      </c>
      <c r="J42" s="180">
        <v>2.950007360491582E-2</v>
      </c>
      <c r="K42" s="180">
        <v>2.4218196280416642E-2</v>
      </c>
      <c r="L42" s="180">
        <v>2.0866359315726075E-2</v>
      </c>
      <c r="M42" s="180">
        <v>1.9777960529124946E-2</v>
      </c>
      <c r="N42" s="180">
        <v>1.9722119837646476E-2</v>
      </c>
      <c r="O42" s="180">
        <v>1.9833522190773119E-2</v>
      </c>
      <c r="P42" s="180">
        <v>1.8524061514258755E-2</v>
      </c>
      <c r="Q42" s="180">
        <v>2.1560840408822064E-2</v>
      </c>
      <c r="R42" s="180">
        <v>2.5349892500479875E-2</v>
      </c>
      <c r="S42" s="180">
        <v>3.220850557924964E-2</v>
      </c>
      <c r="T42" s="180">
        <v>4.0029551088423834E-2</v>
      </c>
      <c r="U42" s="180">
        <v>4.2790398853416088E-2</v>
      </c>
      <c r="V42" s="180">
        <v>4.3969482029171496E-2</v>
      </c>
      <c r="W42" s="180">
        <v>6.854611938713899E-2</v>
      </c>
      <c r="X42" s="180">
        <v>8.7328044767899404E-2</v>
      </c>
      <c r="Y42" s="180">
        <v>8.6540267124225051E-2</v>
      </c>
      <c r="Z42" s="180">
        <v>7.9734941694719341E-2</v>
      </c>
      <c r="AB42" s="180">
        <v>1.9306522364691554E-2</v>
      </c>
      <c r="AC42" s="180">
        <v>1.5361973016229002E-2</v>
      </c>
      <c r="AD42" s="180">
        <v>1.1535347873848828E-2</v>
      </c>
      <c r="AE42" s="180">
        <v>9.0337890224524153E-3</v>
      </c>
      <c r="AF42" s="180">
        <v>7.6838570591548543E-3</v>
      </c>
      <c r="AG42" s="180">
        <v>1.0553666195789662E-2</v>
      </c>
      <c r="AH42" s="180">
        <v>1.836712195734222E-2</v>
      </c>
      <c r="AI42" s="180">
        <v>2.901461845430172E-2</v>
      </c>
      <c r="AJ42" s="180">
        <v>4.6059509629829291E-2</v>
      </c>
      <c r="AK42" s="180">
        <v>5.4743835979438459E-2</v>
      </c>
      <c r="AL42" s="180">
        <v>6.3298799472509451E-2</v>
      </c>
      <c r="AM42" s="180">
        <v>6.4734956656348569E-2</v>
      </c>
      <c r="AN42" s="180">
        <v>6.7846370351886426E-2</v>
      </c>
      <c r="AO42" s="180">
        <v>6.9722833791339728E-2</v>
      </c>
      <c r="AP42" s="180">
        <v>6.9193274460257317E-2</v>
      </c>
      <c r="AQ42" s="180">
        <v>6.5503570187693275E-2</v>
      </c>
      <c r="AR42" s="180">
        <v>6.2943660791461783E-2</v>
      </c>
      <c r="AS42" s="180">
        <v>5.8423851255049078E-2</v>
      </c>
      <c r="AT42" s="180">
        <v>5.9459757092460964E-2</v>
      </c>
      <c r="AU42" s="180">
        <v>5.5664370726784415E-2</v>
      </c>
      <c r="AV42" s="180">
        <v>4.6824760303983248E-2</v>
      </c>
      <c r="AW42" s="180">
        <v>3.9120484309908561E-2</v>
      </c>
      <c r="AX42" s="180">
        <v>3.047060474135983E-2</v>
      </c>
      <c r="AY42" s="180">
        <v>2.5132464305879443E-2</v>
      </c>
      <c r="BA42" s="180">
        <v>1.3307233296629839E-2</v>
      </c>
      <c r="BB42" s="180">
        <v>1.5074921919903653E-2</v>
      </c>
      <c r="BC42" s="180">
        <v>1.1922275447676149E-2</v>
      </c>
      <c r="BD42" s="180">
        <v>8.9052862769829627E-3</v>
      </c>
      <c r="BE42" s="180">
        <v>9.37387327413239E-3</v>
      </c>
      <c r="BF42" s="180">
        <v>1.8969054349847442E-2</v>
      </c>
      <c r="BG42" s="180">
        <v>4.6185067237219629E-2</v>
      </c>
      <c r="BH42" s="180">
        <v>7.8139393739055749E-2</v>
      </c>
      <c r="BI42" s="180">
        <v>0.10568969100726372</v>
      </c>
      <c r="BJ42" s="180">
        <v>0.10381140280312412</v>
      </c>
      <c r="BK42" s="180">
        <v>9.6355184706183053E-2</v>
      </c>
      <c r="BL42" s="180">
        <v>8.3741362357512283E-2</v>
      </c>
      <c r="BM42" s="180">
        <v>7.0109289707959585E-2</v>
      </c>
      <c r="BN42" s="180">
        <v>5.8855742528801692E-2</v>
      </c>
      <c r="BO42" s="180">
        <v>5.0689609005552895E-2</v>
      </c>
      <c r="BP42" s="180">
        <v>4.3367107773942093E-2</v>
      </c>
      <c r="BQ42" s="180">
        <v>3.7076083267582882E-2</v>
      </c>
      <c r="BR42" s="180">
        <v>3.1845928333764227E-2</v>
      </c>
      <c r="BS42" s="180">
        <v>3.0485013397645023E-2</v>
      </c>
      <c r="BT42" s="180">
        <v>2.7289267527151013E-2</v>
      </c>
      <c r="BU42" s="180">
        <v>2.1517739414059305E-2</v>
      </c>
      <c r="BV42" s="180">
        <v>1.5747112858434817E-2</v>
      </c>
      <c r="BW42" s="180">
        <v>1.1509946876637067E-2</v>
      </c>
      <c r="BX42" s="180">
        <v>1.0032412892938327E-2</v>
      </c>
    </row>
    <row r="43" spans="1:78" x14ac:dyDescent="0.35">
      <c r="A43" s="85">
        <v>8</v>
      </c>
      <c r="C43" s="180">
        <v>7.0414510565280156E-2</v>
      </c>
      <c r="D43" s="180">
        <v>6.078960122234188E-2</v>
      </c>
      <c r="E43" s="180">
        <v>5.0319335199381289E-2</v>
      </c>
      <c r="F43" s="180">
        <v>4.064274713398569E-2</v>
      </c>
      <c r="G43" s="180">
        <v>3.4562604924877317E-2</v>
      </c>
      <c r="H43" s="180">
        <v>3.1471923902187643E-2</v>
      </c>
      <c r="I43" s="180">
        <v>3.1298940345538338E-2</v>
      </c>
      <c r="J43" s="180">
        <v>2.950007360491582E-2</v>
      </c>
      <c r="K43" s="180">
        <v>2.4218196280416642E-2</v>
      </c>
      <c r="L43" s="180">
        <v>2.0866359315726075E-2</v>
      </c>
      <c r="M43" s="180">
        <v>1.9777960529124946E-2</v>
      </c>
      <c r="N43" s="180">
        <v>1.9722119837646476E-2</v>
      </c>
      <c r="O43" s="180">
        <v>1.9833522190773119E-2</v>
      </c>
      <c r="P43" s="180">
        <v>1.8524061514258755E-2</v>
      </c>
      <c r="Q43" s="180">
        <v>2.1560840408822064E-2</v>
      </c>
      <c r="R43" s="180">
        <v>2.5349892500479875E-2</v>
      </c>
      <c r="S43" s="180">
        <v>3.220850557924964E-2</v>
      </c>
      <c r="T43" s="180">
        <v>4.0029551088423834E-2</v>
      </c>
      <c r="U43" s="180">
        <v>4.2790398853416088E-2</v>
      </c>
      <c r="V43" s="180">
        <v>4.3969482029171496E-2</v>
      </c>
      <c r="W43" s="180">
        <v>6.854611938713899E-2</v>
      </c>
      <c r="X43" s="180">
        <v>8.7328044767899404E-2</v>
      </c>
      <c r="Y43" s="180">
        <v>8.6540267124225051E-2</v>
      </c>
      <c r="Z43" s="180">
        <v>7.9734941694719341E-2</v>
      </c>
      <c r="AB43" s="180">
        <v>1.9306522364691554E-2</v>
      </c>
      <c r="AC43" s="180">
        <v>1.5361973016229002E-2</v>
      </c>
      <c r="AD43" s="180">
        <v>1.1535347873848828E-2</v>
      </c>
      <c r="AE43" s="180">
        <v>9.0337890224524153E-3</v>
      </c>
      <c r="AF43" s="180">
        <v>7.6838570591548543E-3</v>
      </c>
      <c r="AG43" s="180">
        <v>1.0553666195789662E-2</v>
      </c>
      <c r="AH43" s="180">
        <v>1.836712195734222E-2</v>
      </c>
      <c r="AI43" s="180">
        <v>2.901461845430172E-2</v>
      </c>
      <c r="AJ43" s="180">
        <v>4.6059509629829291E-2</v>
      </c>
      <c r="AK43" s="180">
        <v>5.4743835979438459E-2</v>
      </c>
      <c r="AL43" s="180">
        <v>6.3298799472509451E-2</v>
      </c>
      <c r="AM43" s="180">
        <v>6.4734956656348569E-2</v>
      </c>
      <c r="AN43" s="180">
        <v>6.7846370351886426E-2</v>
      </c>
      <c r="AO43" s="180">
        <v>6.9722833791339728E-2</v>
      </c>
      <c r="AP43" s="180">
        <v>6.9193274460257317E-2</v>
      </c>
      <c r="AQ43" s="180">
        <v>6.5503570187693275E-2</v>
      </c>
      <c r="AR43" s="180">
        <v>6.2943660791461783E-2</v>
      </c>
      <c r="AS43" s="180">
        <v>5.8423851255049078E-2</v>
      </c>
      <c r="AT43" s="180">
        <v>5.9459757092460964E-2</v>
      </c>
      <c r="AU43" s="180">
        <v>5.5664370726784415E-2</v>
      </c>
      <c r="AV43" s="180">
        <v>4.6824760303983248E-2</v>
      </c>
      <c r="AW43" s="180">
        <v>3.9120484309908561E-2</v>
      </c>
      <c r="AX43" s="180">
        <v>3.047060474135983E-2</v>
      </c>
      <c r="AY43" s="180">
        <v>2.5132464305879443E-2</v>
      </c>
      <c r="BA43" s="180">
        <v>1.3307233296629839E-2</v>
      </c>
      <c r="BB43" s="180">
        <v>1.5074921919903653E-2</v>
      </c>
      <c r="BC43" s="180">
        <v>1.1922275447676149E-2</v>
      </c>
      <c r="BD43" s="180">
        <v>8.9052862769829627E-3</v>
      </c>
      <c r="BE43" s="180">
        <v>9.37387327413239E-3</v>
      </c>
      <c r="BF43" s="180">
        <v>1.8969054349847442E-2</v>
      </c>
      <c r="BG43" s="180">
        <v>4.6185067237219629E-2</v>
      </c>
      <c r="BH43" s="180">
        <v>7.8139393739055749E-2</v>
      </c>
      <c r="BI43" s="180">
        <v>0.10568969100726372</v>
      </c>
      <c r="BJ43" s="180">
        <v>0.10381140280312412</v>
      </c>
      <c r="BK43" s="180">
        <v>9.6355184706183053E-2</v>
      </c>
      <c r="BL43" s="180">
        <v>8.3741362357512283E-2</v>
      </c>
      <c r="BM43" s="180">
        <v>7.0109289707959585E-2</v>
      </c>
      <c r="BN43" s="180">
        <v>5.8855742528801692E-2</v>
      </c>
      <c r="BO43" s="180">
        <v>5.0689609005552895E-2</v>
      </c>
      <c r="BP43" s="180">
        <v>4.3367107773942093E-2</v>
      </c>
      <c r="BQ43" s="180">
        <v>3.7076083267582882E-2</v>
      </c>
      <c r="BR43" s="180">
        <v>3.1845928333764227E-2</v>
      </c>
      <c r="BS43" s="180">
        <v>3.0485013397645023E-2</v>
      </c>
      <c r="BT43" s="180">
        <v>2.7289267527151013E-2</v>
      </c>
      <c r="BU43" s="180">
        <v>2.1517739414059305E-2</v>
      </c>
      <c r="BV43" s="180">
        <v>1.5747112858434817E-2</v>
      </c>
      <c r="BW43" s="180">
        <v>1.1509946876637067E-2</v>
      </c>
      <c r="BX43" s="180">
        <v>1.0032412892938327E-2</v>
      </c>
    </row>
    <row r="44" spans="1:78" x14ac:dyDescent="0.35">
      <c r="A44" s="85">
        <v>9</v>
      </c>
      <c r="C44" s="180">
        <v>7.0414510565280156E-2</v>
      </c>
      <c r="D44" s="180">
        <v>6.078960122234188E-2</v>
      </c>
      <c r="E44" s="180">
        <v>5.0319335199381289E-2</v>
      </c>
      <c r="F44" s="180">
        <v>4.064274713398569E-2</v>
      </c>
      <c r="G44" s="180">
        <v>3.4562604924877317E-2</v>
      </c>
      <c r="H44" s="180">
        <v>3.1471923902187643E-2</v>
      </c>
      <c r="I44" s="180">
        <v>3.1298940345538338E-2</v>
      </c>
      <c r="J44" s="180">
        <v>2.950007360491582E-2</v>
      </c>
      <c r="K44" s="180">
        <v>2.4218196280416642E-2</v>
      </c>
      <c r="L44" s="180">
        <v>2.0866359315726075E-2</v>
      </c>
      <c r="M44" s="180">
        <v>1.9777960529124946E-2</v>
      </c>
      <c r="N44" s="180">
        <v>1.9722119837646476E-2</v>
      </c>
      <c r="O44" s="180">
        <v>1.9833522190773119E-2</v>
      </c>
      <c r="P44" s="180">
        <v>1.8524061514258755E-2</v>
      </c>
      <c r="Q44" s="180">
        <v>2.1560840408822064E-2</v>
      </c>
      <c r="R44" s="180">
        <v>2.5349892500479875E-2</v>
      </c>
      <c r="S44" s="180">
        <v>3.220850557924964E-2</v>
      </c>
      <c r="T44" s="180">
        <v>4.0029551088423834E-2</v>
      </c>
      <c r="U44" s="180">
        <v>4.2790398853416088E-2</v>
      </c>
      <c r="V44" s="180">
        <v>4.3969482029171496E-2</v>
      </c>
      <c r="W44" s="180">
        <v>6.854611938713899E-2</v>
      </c>
      <c r="X44" s="180">
        <v>8.7328044767899404E-2</v>
      </c>
      <c r="Y44" s="180">
        <v>8.6540267124225051E-2</v>
      </c>
      <c r="Z44" s="180">
        <v>7.9734941694719341E-2</v>
      </c>
      <c r="AB44" s="180">
        <v>1.9306522364691554E-2</v>
      </c>
      <c r="AC44" s="180">
        <v>1.5361973016229002E-2</v>
      </c>
      <c r="AD44" s="180">
        <v>1.1535347873848828E-2</v>
      </c>
      <c r="AE44" s="180">
        <v>9.0337890224524153E-3</v>
      </c>
      <c r="AF44" s="180">
        <v>7.6838570591548543E-3</v>
      </c>
      <c r="AG44" s="180">
        <v>1.0553666195789662E-2</v>
      </c>
      <c r="AH44" s="180">
        <v>1.836712195734222E-2</v>
      </c>
      <c r="AI44" s="180">
        <v>2.901461845430172E-2</v>
      </c>
      <c r="AJ44" s="180">
        <v>4.6059509629829291E-2</v>
      </c>
      <c r="AK44" s="180">
        <v>5.4743835979438459E-2</v>
      </c>
      <c r="AL44" s="180">
        <v>6.3298799472509451E-2</v>
      </c>
      <c r="AM44" s="180">
        <v>6.4734956656348569E-2</v>
      </c>
      <c r="AN44" s="180">
        <v>6.7846370351886426E-2</v>
      </c>
      <c r="AO44" s="180">
        <v>6.9722833791339728E-2</v>
      </c>
      <c r="AP44" s="180">
        <v>6.9193274460257317E-2</v>
      </c>
      <c r="AQ44" s="180">
        <v>6.5503570187693275E-2</v>
      </c>
      <c r="AR44" s="180">
        <v>6.2943660791461783E-2</v>
      </c>
      <c r="AS44" s="180">
        <v>5.8423851255049078E-2</v>
      </c>
      <c r="AT44" s="180">
        <v>5.9459757092460964E-2</v>
      </c>
      <c r="AU44" s="180">
        <v>5.5664370726784415E-2</v>
      </c>
      <c r="AV44" s="180">
        <v>4.6824760303983248E-2</v>
      </c>
      <c r="AW44" s="180">
        <v>3.9120484309908561E-2</v>
      </c>
      <c r="AX44" s="180">
        <v>3.047060474135983E-2</v>
      </c>
      <c r="AY44" s="180">
        <v>2.5132464305879443E-2</v>
      </c>
      <c r="BA44" s="180">
        <v>1.3307233296629839E-2</v>
      </c>
      <c r="BB44" s="180">
        <v>1.5074921919903653E-2</v>
      </c>
      <c r="BC44" s="180">
        <v>1.1922275447676149E-2</v>
      </c>
      <c r="BD44" s="180">
        <v>8.9052862769829627E-3</v>
      </c>
      <c r="BE44" s="180">
        <v>9.37387327413239E-3</v>
      </c>
      <c r="BF44" s="180">
        <v>1.8969054349847442E-2</v>
      </c>
      <c r="BG44" s="180">
        <v>4.6185067237219629E-2</v>
      </c>
      <c r="BH44" s="180">
        <v>7.8139393739055749E-2</v>
      </c>
      <c r="BI44" s="180">
        <v>0.10568969100726372</v>
      </c>
      <c r="BJ44" s="180">
        <v>0.10381140280312412</v>
      </c>
      <c r="BK44" s="180">
        <v>9.6355184706183053E-2</v>
      </c>
      <c r="BL44" s="180">
        <v>8.3741362357512283E-2</v>
      </c>
      <c r="BM44" s="180">
        <v>7.0109289707959585E-2</v>
      </c>
      <c r="BN44" s="180">
        <v>5.8855742528801692E-2</v>
      </c>
      <c r="BO44" s="180">
        <v>5.0689609005552895E-2</v>
      </c>
      <c r="BP44" s="180">
        <v>4.3367107773942093E-2</v>
      </c>
      <c r="BQ44" s="180">
        <v>3.7076083267582882E-2</v>
      </c>
      <c r="BR44" s="180">
        <v>3.1845928333764227E-2</v>
      </c>
      <c r="BS44" s="180">
        <v>3.0485013397645023E-2</v>
      </c>
      <c r="BT44" s="180">
        <v>2.7289267527151013E-2</v>
      </c>
      <c r="BU44" s="180">
        <v>2.1517739414059305E-2</v>
      </c>
      <c r="BV44" s="180">
        <v>1.5747112858434817E-2</v>
      </c>
      <c r="BW44" s="180">
        <v>1.1509946876637067E-2</v>
      </c>
      <c r="BX44" s="180">
        <v>1.0032412892938327E-2</v>
      </c>
    </row>
    <row r="45" spans="1:78" x14ac:dyDescent="0.35">
      <c r="A45" s="85">
        <v>10</v>
      </c>
      <c r="C45" s="180">
        <v>7.0414510565280156E-2</v>
      </c>
      <c r="D45" s="180">
        <v>6.078960122234188E-2</v>
      </c>
      <c r="E45" s="180">
        <v>5.0319335199381289E-2</v>
      </c>
      <c r="F45" s="180">
        <v>4.064274713398569E-2</v>
      </c>
      <c r="G45" s="180">
        <v>3.4562604924877317E-2</v>
      </c>
      <c r="H45" s="180">
        <v>3.1471923902187643E-2</v>
      </c>
      <c r="I45" s="180">
        <v>3.1298940345538338E-2</v>
      </c>
      <c r="J45" s="180">
        <v>2.950007360491582E-2</v>
      </c>
      <c r="K45" s="180">
        <v>2.4218196280416642E-2</v>
      </c>
      <c r="L45" s="180">
        <v>2.0866359315726075E-2</v>
      </c>
      <c r="M45" s="180">
        <v>1.9777960529124946E-2</v>
      </c>
      <c r="N45" s="180">
        <v>1.9722119837646476E-2</v>
      </c>
      <c r="O45" s="180">
        <v>1.9833522190773119E-2</v>
      </c>
      <c r="P45" s="180">
        <v>1.8524061514258755E-2</v>
      </c>
      <c r="Q45" s="180">
        <v>2.1560840408822064E-2</v>
      </c>
      <c r="R45" s="180">
        <v>2.5349892500479875E-2</v>
      </c>
      <c r="S45" s="180">
        <v>3.220850557924964E-2</v>
      </c>
      <c r="T45" s="180">
        <v>4.0029551088423834E-2</v>
      </c>
      <c r="U45" s="180">
        <v>4.2790398853416088E-2</v>
      </c>
      <c r="V45" s="180">
        <v>4.3969482029171496E-2</v>
      </c>
      <c r="W45" s="180">
        <v>6.854611938713899E-2</v>
      </c>
      <c r="X45" s="180">
        <v>8.7328044767899404E-2</v>
      </c>
      <c r="Y45" s="180">
        <v>8.6540267124225051E-2</v>
      </c>
      <c r="Z45" s="180">
        <v>7.9734941694719341E-2</v>
      </c>
      <c r="AB45" s="180">
        <v>1.9306522364691554E-2</v>
      </c>
      <c r="AC45" s="180">
        <v>1.5361973016229002E-2</v>
      </c>
      <c r="AD45" s="180">
        <v>1.1535347873848828E-2</v>
      </c>
      <c r="AE45" s="180">
        <v>9.0337890224524153E-3</v>
      </c>
      <c r="AF45" s="180">
        <v>7.6838570591548543E-3</v>
      </c>
      <c r="AG45" s="180">
        <v>1.0553666195789662E-2</v>
      </c>
      <c r="AH45" s="180">
        <v>1.836712195734222E-2</v>
      </c>
      <c r="AI45" s="180">
        <v>2.901461845430172E-2</v>
      </c>
      <c r="AJ45" s="180">
        <v>4.6059509629829291E-2</v>
      </c>
      <c r="AK45" s="180">
        <v>5.4743835979438459E-2</v>
      </c>
      <c r="AL45" s="180">
        <v>6.3298799472509451E-2</v>
      </c>
      <c r="AM45" s="180">
        <v>6.4734956656348569E-2</v>
      </c>
      <c r="AN45" s="180">
        <v>6.7846370351886426E-2</v>
      </c>
      <c r="AO45" s="180">
        <v>6.9722833791339728E-2</v>
      </c>
      <c r="AP45" s="180">
        <v>6.9193274460257317E-2</v>
      </c>
      <c r="AQ45" s="180">
        <v>6.5503570187693275E-2</v>
      </c>
      <c r="AR45" s="180">
        <v>6.2943660791461783E-2</v>
      </c>
      <c r="AS45" s="180">
        <v>5.8423851255049078E-2</v>
      </c>
      <c r="AT45" s="180">
        <v>5.9459757092460964E-2</v>
      </c>
      <c r="AU45" s="180">
        <v>5.5664370726784415E-2</v>
      </c>
      <c r="AV45" s="180">
        <v>4.6824760303983248E-2</v>
      </c>
      <c r="AW45" s="180">
        <v>3.9120484309908561E-2</v>
      </c>
      <c r="AX45" s="180">
        <v>3.047060474135983E-2</v>
      </c>
      <c r="AY45" s="180">
        <v>2.5132464305879443E-2</v>
      </c>
      <c r="BA45" s="180">
        <v>1.3307233296629839E-2</v>
      </c>
      <c r="BB45" s="180">
        <v>1.5074921919903653E-2</v>
      </c>
      <c r="BC45" s="180">
        <v>1.1922275447676149E-2</v>
      </c>
      <c r="BD45" s="180">
        <v>8.9052862769829627E-3</v>
      </c>
      <c r="BE45" s="180">
        <v>9.37387327413239E-3</v>
      </c>
      <c r="BF45" s="180">
        <v>1.8969054349847442E-2</v>
      </c>
      <c r="BG45" s="180">
        <v>4.6185067237219629E-2</v>
      </c>
      <c r="BH45" s="180">
        <v>7.8139393739055749E-2</v>
      </c>
      <c r="BI45" s="180">
        <v>0.10568969100726372</v>
      </c>
      <c r="BJ45" s="180">
        <v>0.10381140280312412</v>
      </c>
      <c r="BK45" s="180">
        <v>9.6355184706183053E-2</v>
      </c>
      <c r="BL45" s="180">
        <v>8.3741362357512283E-2</v>
      </c>
      <c r="BM45" s="180">
        <v>7.0109289707959585E-2</v>
      </c>
      <c r="BN45" s="180">
        <v>5.8855742528801692E-2</v>
      </c>
      <c r="BO45" s="180">
        <v>5.0689609005552895E-2</v>
      </c>
      <c r="BP45" s="180">
        <v>4.3367107773942093E-2</v>
      </c>
      <c r="BQ45" s="180">
        <v>3.7076083267582882E-2</v>
      </c>
      <c r="BR45" s="180">
        <v>3.1845928333764227E-2</v>
      </c>
      <c r="BS45" s="180">
        <v>3.0485013397645023E-2</v>
      </c>
      <c r="BT45" s="180">
        <v>2.7289267527151013E-2</v>
      </c>
      <c r="BU45" s="180">
        <v>2.1517739414059305E-2</v>
      </c>
      <c r="BV45" s="180">
        <v>1.5747112858434817E-2</v>
      </c>
      <c r="BW45" s="180">
        <v>1.1509946876637067E-2</v>
      </c>
      <c r="BX45" s="180">
        <v>1.0032412892938327E-2</v>
      </c>
    </row>
    <row r="46" spans="1:78" x14ac:dyDescent="0.35">
      <c r="A46" s="85">
        <v>11</v>
      </c>
      <c r="C46" s="180">
        <v>7.0414510565280156E-2</v>
      </c>
      <c r="D46" s="180">
        <v>6.078960122234188E-2</v>
      </c>
      <c r="E46" s="180">
        <v>5.0319335199381289E-2</v>
      </c>
      <c r="F46" s="180">
        <v>4.064274713398569E-2</v>
      </c>
      <c r="G46" s="180">
        <v>3.4562604924877317E-2</v>
      </c>
      <c r="H46" s="180">
        <v>3.1471923902187643E-2</v>
      </c>
      <c r="I46" s="180">
        <v>3.1298940345538338E-2</v>
      </c>
      <c r="J46" s="180">
        <v>2.950007360491582E-2</v>
      </c>
      <c r="K46" s="180">
        <v>2.4218196280416642E-2</v>
      </c>
      <c r="L46" s="180">
        <v>2.0866359315726075E-2</v>
      </c>
      <c r="M46" s="180">
        <v>1.9777960529124946E-2</v>
      </c>
      <c r="N46" s="180">
        <v>1.9722119837646476E-2</v>
      </c>
      <c r="O46" s="180">
        <v>1.9833522190773119E-2</v>
      </c>
      <c r="P46" s="180">
        <v>1.8524061514258755E-2</v>
      </c>
      <c r="Q46" s="180">
        <v>2.1560840408822064E-2</v>
      </c>
      <c r="R46" s="180">
        <v>2.5349892500479875E-2</v>
      </c>
      <c r="S46" s="180">
        <v>3.220850557924964E-2</v>
      </c>
      <c r="T46" s="180">
        <v>4.0029551088423834E-2</v>
      </c>
      <c r="U46" s="180">
        <v>4.2790398853416088E-2</v>
      </c>
      <c r="V46" s="180">
        <v>4.3969482029171496E-2</v>
      </c>
      <c r="W46" s="180">
        <v>6.854611938713899E-2</v>
      </c>
      <c r="X46" s="180">
        <v>8.7328044767899404E-2</v>
      </c>
      <c r="Y46" s="180">
        <v>8.6540267124225051E-2</v>
      </c>
      <c r="Z46" s="180">
        <v>7.9734941694719341E-2</v>
      </c>
      <c r="AB46" s="180">
        <v>1.9306522364691554E-2</v>
      </c>
      <c r="AC46" s="180">
        <v>1.5361973016229002E-2</v>
      </c>
      <c r="AD46" s="180">
        <v>1.1535347873848828E-2</v>
      </c>
      <c r="AE46" s="180">
        <v>9.0337890224524153E-3</v>
      </c>
      <c r="AF46" s="180">
        <v>7.6838570591548543E-3</v>
      </c>
      <c r="AG46" s="180">
        <v>1.0553666195789662E-2</v>
      </c>
      <c r="AH46" s="180">
        <v>1.836712195734222E-2</v>
      </c>
      <c r="AI46" s="180">
        <v>2.901461845430172E-2</v>
      </c>
      <c r="AJ46" s="180">
        <v>4.6059509629829291E-2</v>
      </c>
      <c r="AK46" s="180">
        <v>5.4743835979438459E-2</v>
      </c>
      <c r="AL46" s="180">
        <v>6.3298799472509451E-2</v>
      </c>
      <c r="AM46" s="180">
        <v>6.4734956656348569E-2</v>
      </c>
      <c r="AN46" s="180">
        <v>6.7846370351886426E-2</v>
      </c>
      <c r="AO46" s="180">
        <v>6.9722833791339728E-2</v>
      </c>
      <c r="AP46" s="180">
        <v>6.9193274460257317E-2</v>
      </c>
      <c r="AQ46" s="180">
        <v>6.5503570187693275E-2</v>
      </c>
      <c r="AR46" s="180">
        <v>6.2943660791461783E-2</v>
      </c>
      <c r="AS46" s="180">
        <v>5.8423851255049078E-2</v>
      </c>
      <c r="AT46" s="180">
        <v>5.9459757092460964E-2</v>
      </c>
      <c r="AU46" s="180">
        <v>5.5664370726784415E-2</v>
      </c>
      <c r="AV46" s="180">
        <v>4.6824760303983248E-2</v>
      </c>
      <c r="AW46" s="180">
        <v>3.9120484309908561E-2</v>
      </c>
      <c r="AX46" s="180">
        <v>3.047060474135983E-2</v>
      </c>
      <c r="AY46" s="180">
        <v>2.5132464305879443E-2</v>
      </c>
      <c r="BA46" s="180">
        <v>1.3307233296629839E-2</v>
      </c>
      <c r="BB46" s="180">
        <v>1.5074921919903653E-2</v>
      </c>
      <c r="BC46" s="180">
        <v>1.1922275447676149E-2</v>
      </c>
      <c r="BD46" s="180">
        <v>8.9052862769829627E-3</v>
      </c>
      <c r="BE46" s="180">
        <v>9.37387327413239E-3</v>
      </c>
      <c r="BF46" s="180">
        <v>1.8969054349847442E-2</v>
      </c>
      <c r="BG46" s="180">
        <v>4.6185067237219629E-2</v>
      </c>
      <c r="BH46" s="180">
        <v>7.8139393739055749E-2</v>
      </c>
      <c r="BI46" s="180">
        <v>0.10568969100726372</v>
      </c>
      <c r="BJ46" s="180">
        <v>0.10381140280312412</v>
      </c>
      <c r="BK46" s="180">
        <v>9.6355184706183053E-2</v>
      </c>
      <c r="BL46" s="180">
        <v>8.3741362357512283E-2</v>
      </c>
      <c r="BM46" s="180">
        <v>7.0109289707959585E-2</v>
      </c>
      <c r="BN46" s="180">
        <v>5.8855742528801692E-2</v>
      </c>
      <c r="BO46" s="180">
        <v>5.0689609005552895E-2</v>
      </c>
      <c r="BP46" s="180">
        <v>4.3367107773942093E-2</v>
      </c>
      <c r="BQ46" s="180">
        <v>3.7076083267582882E-2</v>
      </c>
      <c r="BR46" s="180">
        <v>3.1845928333764227E-2</v>
      </c>
      <c r="BS46" s="180">
        <v>3.0485013397645023E-2</v>
      </c>
      <c r="BT46" s="180">
        <v>2.7289267527151013E-2</v>
      </c>
      <c r="BU46" s="180">
        <v>2.1517739414059305E-2</v>
      </c>
      <c r="BV46" s="180">
        <v>1.5747112858434817E-2</v>
      </c>
      <c r="BW46" s="180">
        <v>1.1509946876637067E-2</v>
      </c>
      <c r="BX46" s="180">
        <v>1.0032412892938327E-2</v>
      </c>
    </row>
    <row r="47" spans="1:78" x14ac:dyDescent="0.35">
      <c r="A47" s="85">
        <v>12</v>
      </c>
      <c r="C47" s="180">
        <v>7.0414510565280156E-2</v>
      </c>
      <c r="D47" s="180">
        <v>6.078960122234188E-2</v>
      </c>
      <c r="E47" s="180">
        <v>5.0319335199381289E-2</v>
      </c>
      <c r="F47" s="180">
        <v>4.064274713398569E-2</v>
      </c>
      <c r="G47" s="180">
        <v>3.4562604924877317E-2</v>
      </c>
      <c r="H47" s="180">
        <v>3.1471923902187643E-2</v>
      </c>
      <c r="I47" s="180">
        <v>3.1298940345538338E-2</v>
      </c>
      <c r="J47" s="180">
        <v>2.950007360491582E-2</v>
      </c>
      <c r="K47" s="180">
        <v>2.4218196280416642E-2</v>
      </c>
      <c r="L47" s="180">
        <v>2.0866359315726075E-2</v>
      </c>
      <c r="M47" s="180">
        <v>1.9777960529124946E-2</v>
      </c>
      <c r="N47" s="180">
        <v>1.9722119837646476E-2</v>
      </c>
      <c r="O47" s="180">
        <v>1.9833522190773119E-2</v>
      </c>
      <c r="P47" s="180">
        <v>1.8524061514258755E-2</v>
      </c>
      <c r="Q47" s="180">
        <v>2.1560840408822064E-2</v>
      </c>
      <c r="R47" s="180">
        <v>2.5349892500479875E-2</v>
      </c>
      <c r="S47" s="180">
        <v>3.220850557924964E-2</v>
      </c>
      <c r="T47" s="180">
        <v>4.0029551088423834E-2</v>
      </c>
      <c r="U47" s="180">
        <v>4.2790398853416088E-2</v>
      </c>
      <c r="V47" s="180">
        <v>4.3969482029171496E-2</v>
      </c>
      <c r="W47" s="180">
        <v>6.854611938713899E-2</v>
      </c>
      <c r="X47" s="180">
        <v>8.7328044767899404E-2</v>
      </c>
      <c r="Y47" s="180">
        <v>8.6540267124225051E-2</v>
      </c>
      <c r="Z47" s="180">
        <v>7.9734941694719341E-2</v>
      </c>
      <c r="AB47" s="180">
        <v>1.9306522364691554E-2</v>
      </c>
      <c r="AC47" s="180">
        <v>1.5361973016229002E-2</v>
      </c>
      <c r="AD47" s="180">
        <v>1.1535347873848828E-2</v>
      </c>
      <c r="AE47" s="180">
        <v>9.0337890224524153E-3</v>
      </c>
      <c r="AF47" s="180">
        <v>7.6838570591548543E-3</v>
      </c>
      <c r="AG47" s="180">
        <v>1.0553666195789662E-2</v>
      </c>
      <c r="AH47" s="180">
        <v>1.836712195734222E-2</v>
      </c>
      <c r="AI47" s="180">
        <v>2.901461845430172E-2</v>
      </c>
      <c r="AJ47" s="180">
        <v>4.6059509629829291E-2</v>
      </c>
      <c r="AK47" s="180">
        <v>5.4743835979438459E-2</v>
      </c>
      <c r="AL47" s="180">
        <v>6.3298799472509451E-2</v>
      </c>
      <c r="AM47" s="180">
        <v>6.4734956656348569E-2</v>
      </c>
      <c r="AN47" s="180">
        <v>6.7846370351886426E-2</v>
      </c>
      <c r="AO47" s="180">
        <v>6.9722833791339728E-2</v>
      </c>
      <c r="AP47" s="180">
        <v>6.9193274460257317E-2</v>
      </c>
      <c r="AQ47" s="180">
        <v>6.5503570187693275E-2</v>
      </c>
      <c r="AR47" s="180">
        <v>6.2943660791461783E-2</v>
      </c>
      <c r="AS47" s="180">
        <v>5.8423851255049078E-2</v>
      </c>
      <c r="AT47" s="180">
        <v>5.9459757092460964E-2</v>
      </c>
      <c r="AU47" s="180">
        <v>5.5664370726784415E-2</v>
      </c>
      <c r="AV47" s="180">
        <v>4.6824760303983248E-2</v>
      </c>
      <c r="AW47" s="180">
        <v>3.9120484309908561E-2</v>
      </c>
      <c r="AX47" s="180">
        <v>3.047060474135983E-2</v>
      </c>
      <c r="AY47" s="180">
        <v>2.5132464305879443E-2</v>
      </c>
      <c r="BA47" s="180">
        <v>1.3307233296629839E-2</v>
      </c>
      <c r="BB47" s="180">
        <v>1.5074921919903653E-2</v>
      </c>
      <c r="BC47" s="180">
        <v>1.1922275447676149E-2</v>
      </c>
      <c r="BD47" s="180">
        <v>8.9052862769829627E-3</v>
      </c>
      <c r="BE47" s="180">
        <v>9.37387327413239E-3</v>
      </c>
      <c r="BF47" s="180">
        <v>1.8969054349847442E-2</v>
      </c>
      <c r="BG47" s="180">
        <v>4.6185067237219629E-2</v>
      </c>
      <c r="BH47" s="180">
        <v>7.8139393739055749E-2</v>
      </c>
      <c r="BI47" s="180">
        <v>0.10568969100726372</v>
      </c>
      <c r="BJ47" s="180">
        <v>0.10381140280312412</v>
      </c>
      <c r="BK47" s="180">
        <v>9.6355184706183053E-2</v>
      </c>
      <c r="BL47" s="180">
        <v>8.3741362357512283E-2</v>
      </c>
      <c r="BM47" s="180">
        <v>7.0109289707959585E-2</v>
      </c>
      <c r="BN47" s="180">
        <v>5.8855742528801692E-2</v>
      </c>
      <c r="BO47" s="180">
        <v>5.0689609005552895E-2</v>
      </c>
      <c r="BP47" s="180">
        <v>4.3367107773942093E-2</v>
      </c>
      <c r="BQ47" s="180">
        <v>3.7076083267582882E-2</v>
      </c>
      <c r="BR47" s="180">
        <v>3.1845928333764227E-2</v>
      </c>
      <c r="BS47" s="180">
        <v>3.0485013397645023E-2</v>
      </c>
      <c r="BT47" s="180">
        <v>2.7289267527151013E-2</v>
      </c>
      <c r="BU47" s="180">
        <v>2.1517739414059305E-2</v>
      </c>
      <c r="BV47" s="180">
        <v>1.5747112858434817E-2</v>
      </c>
      <c r="BW47" s="180">
        <v>1.1509946876637067E-2</v>
      </c>
      <c r="BX47" s="180">
        <v>1.0032412892938327E-2</v>
      </c>
    </row>
    <row r="48" spans="1:78" x14ac:dyDescent="0.35">
      <c r="A48" s="85"/>
    </row>
    <row r="49" spans="1:78" x14ac:dyDescent="0.35">
      <c r="A49" s="85"/>
      <c r="C49" s="2" t="s">
        <v>187</v>
      </c>
      <c r="AB49" s="2" t="s">
        <v>187</v>
      </c>
      <c r="BA49" s="2" t="s">
        <v>187</v>
      </c>
    </row>
    <row r="50" spans="1:78" x14ac:dyDescent="0.35">
      <c r="A50" s="85"/>
      <c r="C50" s="3">
        <v>0</v>
      </c>
      <c r="D50" s="3">
        <v>1</v>
      </c>
      <c r="E50" s="3">
        <v>2</v>
      </c>
      <c r="F50" s="3">
        <v>3</v>
      </c>
      <c r="G50" s="3">
        <v>4</v>
      </c>
      <c r="H50" s="3">
        <v>5</v>
      </c>
      <c r="I50" s="3">
        <v>6</v>
      </c>
      <c r="J50" s="3">
        <v>7</v>
      </c>
      <c r="K50" s="3">
        <v>8</v>
      </c>
      <c r="L50" s="3">
        <v>9</v>
      </c>
      <c r="M50" s="3">
        <v>10</v>
      </c>
      <c r="N50" s="3">
        <v>11</v>
      </c>
      <c r="O50" s="3">
        <v>12</v>
      </c>
      <c r="P50" s="3">
        <v>13</v>
      </c>
      <c r="Q50" s="3">
        <v>14</v>
      </c>
      <c r="R50" s="3">
        <v>15</v>
      </c>
      <c r="S50" s="3">
        <v>16</v>
      </c>
      <c r="T50" s="3">
        <v>17</v>
      </c>
      <c r="U50" s="3">
        <v>18</v>
      </c>
      <c r="V50" s="3">
        <v>19</v>
      </c>
      <c r="W50" s="3">
        <v>20</v>
      </c>
      <c r="X50" s="3">
        <v>21</v>
      </c>
      <c r="Y50" s="3">
        <v>22</v>
      </c>
      <c r="Z50" s="3">
        <v>23</v>
      </c>
      <c r="AB50" s="3">
        <v>0</v>
      </c>
      <c r="AC50" s="3">
        <v>1</v>
      </c>
      <c r="AD50" s="3">
        <v>2</v>
      </c>
      <c r="AE50" s="3">
        <v>3</v>
      </c>
      <c r="AF50" s="3">
        <v>4</v>
      </c>
      <c r="AG50" s="3">
        <v>5</v>
      </c>
      <c r="AH50" s="3">
        <v>6</v>
      </c>
      <c r="AI50" s="3">
        <v>7</v>
      </c>
      <c r="AJ50" s="3">
        <v>8</v>
      </c>
      <c r="AK50" s="3">
        <v>9</v>
      </c>
      <c r="AL50" s="3">
        <v>10</v>
      </c>
      <c r="AM50" s="3">
        <v>11</v>
      </c>
      <c r="AN50" s="3">
        <v>12</v>
      </c>
      <c r="AO50" s="3">
        <v>13</v>
      </c>
      <c r="AP50" s="3">
        <v>14</v>
      </c>
      <c r="AQ50" s="3">
        <v>15</v>
      </c>
      <c r="AR50" s="3">
        <v>16</v>
      </c>
      <c r="AS50" s="3">
        <v>17</v>
      </c>
      <c r="AT50" s="3">
        <v>18</v>
      </c>
      <c r="AU50" s="3">
        <v>19</v>
      </c>
      <c r="AV50" s="3">
        <v>20</v>
      </c>
      <c r="AW50" s="3">
        <v>21</v>
      </c>
      <c r="AX50" s="3">
        <v>22</v>
      </c>
      <c r="AY50" s="3">
        <v>23</v>
      </c>
      <c r="BA50" s="3">
        <v>0</v>
      </c>
      <c r="BB50" s="3">
        <v>1</v>
      </c>
      <c r="BC50" s="3">
        <v>2</v>
      </c>
      <c r="BD50" s="3">
        <v>3</v>
      </c>
      <c r="BE50" s="3">
        <v>4</v>
      </c>
      <c r="BF50" s="3">
        <v>5</v>
      </c>
      <c r="BG50" s="3">
        <v>6</v>
      </c>
      <c r="BH50" s="3">
        <v>7</v>
      </c>
      <c r="BI50" s="3">
        <v>8</v>
      </c>
      <c r="BJ50" s="3">
        <v>9</v>
      </c>
      <c r="BK50" s="3">
        <v>10</v>
      </c>
      <c r="BL50" s="3">
        <v>11</v>
      </c>
      <c r="BM50" s="3">
        <v>12</v>
      </c>
      <c r="BN50" s="3">
        <v>13</v>
      </c>
      <c r="BO50" s="3">
        <v>14</v>
      </c>
      <c r="BP50" s="3">
        <v>15</v>
      </c>
      <c r="BQ50" s="3">
        <v>16</v>
      </c>
      <c r="BR50" s="3">
        <v>17</v>
      </c>
      <c r="BS50" s="3">
        <v>18</v>
      </c>
      <c r="BT50" s="3">
        <v>19</v>
      </c>
      <c r="BU50" s="3">
        <v>20</v>
      </c>
      <c r="BV50" s="3">
        <v>21</v>
      </c>
      <c r="BW50" s="3">
        <v>22</v>
      </c>
      <c r="BX50" s="3">
        <v>23</v>
      </c>
    </row>
    <row r="51" spans="1:78" x14ac:dyDescent="0.35">
      <c r="A51" s="85">
        <v>1</v>
      </c>
      <c r="C51" s="180">
        <v>4.9008945047932857E-2</v>
      </c>
      <c r="D51" s="180">
        <v>3.9991477986266649E-2</v>
      </c>
      <c r="E51" s="180">
        <v>3.2724067712316111E-2</v>
      </c>
      <c r="F51" s="180">
        <v>2.7363432281958176E-2</v>
      </c>
      <c r="G51" s="180">
        <v>2.3554590593528449E-2</v>
      </c>
      <c r="H51" s="180">
        <v>2.0922723729319668E-2</v>
      </c>
      <c r="I51" s="180">
        <v>1.8165497684616384E-2</v>
      </c>
      <c r="J51" s="180">
        <v>1.5987676568754619E-2</v>
      </c>
      <c r="K51" s="180">
        <v>1.5176081183070544E-2</v>
      </c>
      <c r="L51" s="180">
        <v>1.5748429553725327E-2</v>
      </c>
      <c r="M51" s="180">
        <v>1.6597712657125341E-2</v>
      </c>
      <c r="N51" s="180">
        <v>2.4579266212564316E-2</v>
      </c>
      <c r="O51" s="180">
        <v>3.0190350378221077E-2</v>
      </c>
      <c r="P51" s="180">
        <v>3.1941592172972738E-2</v>
      </c>
      <c r="Q51" s="180">
        <v>3.5438092030578329E-2</v>
      </c>
      <c r="R51" s="180">
        <v>4.1008153161505703E-2</v>
      </c>
      <c r="S51" s="180">
        <v>5.1912974431711487E-2</v>
      </c>
      <c r="T51" s="180">
        <v>7.0250123497699324E-2</v>
      </c>
      <c r="U51" s="180">
        <v>8.9249859017151725E-2</v>
      </c>
      <c r="V51" s="180">
        <v>8.5037053414845964E-2</v>
      </c>
      <c r="W51" s="180">
        <v>7.3589448954984732E-2</v>
      </c>
      <c r="X51" s="180">
        <v>7.057362991136025E-2</v>
      </c>
      <c r="Y51" s="180">
        <v>6.4847986823923093E-2</v>
      </c>
      <c r="Z51" s="180">
        <v>5.6140834993867121E-2</v>
      </c>
      <c r="AB51" s="180">
        <v>2.4739919279949344E-2</v>
      </c>
      <c r="AC51" s="180">
        <v>9.3148911201451252E-3</v>
      </c>
      <c r="AD51" s="180">
        <v>5.1179435154249178E-3</v>
      </c>
      <c r="AE51" s="180">
        <v>4.080422619505474E-3</v>
      </c>
      <c r="AF51" s="180">
        <v>5.4956692393802698E-3</v>
      </c>
      <c r="AG51" s="180">
        <v>1.5067858397462587E-2</v>
      </c>
      <c r="AH51" s="180">
        <v>2.1120049041966134E-2</v>
      </c>
      <c r="AI51" s="180">
        <v>4.0818910156034914E-2</v>
      </c>
      <c r="AJ51" s="180">
        <v>5.8363725832126012E-2</v>
      </c>
      <c r="AK51" s="180">
        <v>6.768440200196206E-2</v>
      </c>
      <c r="AL51" s="180">
        <v>6.9404955597290804E-2</v>
      </c>
      <c r="AM51" s="180">
        <v>6.6904125168194897E-2</v>
      </c>
      <c r="AN51" s="180">
        <v>6.1809093793605302E-2</v>
      </c>
      <c r="AO51" s="180">
        <v>5.5818564023242166E-2</v>
      </c>
      <c r="AP51" s="180">
        <v>6.4242728072752095E-2</v>
      </c>
      <c r="AQ51" s="180">
        <v>5.8154547028911353E-2</v>
      </c>
      <c r="AR51" s="180">
        <v>6.0202525606471137E-2</v>
      </c>
      <c r="AS51" s="180">
        <v>6.7821176758598681E-2</v>
      </c>
      <c r="AT51" s="180">
        <v>6.5807632049981232E-2</v>
      </c>
      <c r="AU51" s="180">
        <v>6.8544261293151165E-2</v>
      </c>
      <c r="AV51" s="180">
        <v>4.549104896914824E-2</v>
      </c>
      <c r="AW51" s="180">
        <v>3.0625272204436664E-2</v>
      </c>
      <c r="AX51" s="180">
        <v>1.9243675030117379E-2</v>
      </c>
      <c r="AY51" s="180">
        <v>1.4126603200142061E-2</v>
      </c>
      <c r="BA51" s="180">
        <v>2.172071131485585E-2</v>
      </c>
      <c r="BB51" s="180">
        <v>2.0266155304469215E-2</v>
      </c>
      <c r="BC51" s="180">
        <v>1.8528126069276372E-2</v>
      </c>
      <c r="BD51" s="180">
        <v>1.5038843025398697E-2</v>
      </c>
      <c r="BE51" s="180">
        <v>1.3256400681671209E-2</v>
      </c>
      <c r="BF51" s="180">
        <v>1.4192793472250309E-2</v>
      </c>
      <c r="BG51" s="180">
        <v>4.045389709806331E-2</v>
      </c>
      <c r="BH51" s="180">
        <v>6.0476825668835735E-2</v>
      </c>
      <c r="BI51" s="180">
        <v>7.1690837710397248E-2</v>
      </c>
      <c r="BJ51" s="180">
        <v>7.3758443622831141E-2</v>
      </c>
      <c r="BK51" s="180">
        <v>7.3101795251823309E-2</v>
      </c>
      <c r="BL51" s="180">
        <v>7.0638892201733472E-2</v>
      </c>
      <c r="BM51" s="180">
        <v>6.8016972706000642E-2</v>
      </c>
      <c r="BN51" s="180">
        <v>6.627131886931685E-2</v>
      </c>
      <c r="BO51" s="180">
        <v>6.553564267079437E-2</v>
      </c>
      <c r="BP51" s="180">
        <v>6.1704234637325862E-2</v>
      </c>
      <c r="BQ51" s="180">
        <v>5.2902260487142541E-2</v>
      </c>
      <c r="BR51" s="180">
        <v>4.1134134539862671E-2</v>
      </c>
      <c r="BS51" s="180">
        <v>3.3802625792018051E-2</v>
      </c>
      <c r="BT51" s="180">
        <v>2.9421658469263604E-2</v>
      </c>
      <c r="BU51" s="180">
        <v>2.3860778740666062E-2</v>
      </c>
      <c r="BV51" s="180">
        <v>2.3228335942669421E-2</v>
      </c>
      <c r="BW51" s="180">
        <v>2.0362112677995127E-2</v>
      </c>
      <c r="BX51" s="180">
        <v>2.0636203045338888E-2</v>
      </c>
      <c r="BZ51" s="91" t="s">
        <v>188</v>
      </c>
    </row>
    <row r="52" spans="1:78" x14ac:dyDescent="0.35">
      <c r="A52" s="85">
        <v>2</v>
      </c>
      <c r="C52" s="180">
        <v>4.875405766672844E-2</v>
      </c>
      <c r="D52" s="180">
        <v>3.9849488778565922E-2</v>
      </c>
      <c r="E52" s="180">
        <v>3.2637168817641088E-2</v>
      </c>
      <c r="F52" s="180">
        <v>2.7390363369491709E-2</v>
      </c>
      <c r="G52" s="180">
        <v>2.3592252055862014E-2</v>
      </c>
      <c r="H52" s="180">
        <v>2.0963774686628408E-2</v>
      </c>
      <c r="I52" s="180">
        <v>1.8227412525975314E-2</v>
      </c>
      <c r="J52" s="180">
        <v>1.5979646119243206E-2</v>
      </c>
      <c r="K52" s="180">
        <v>1.5284258303614509E-2</v>
      </c>
      <c r="L52" s="180">
        <v>1.5886087214740344E-2</v>
      </c>
      <c r="M52" s="180">
        <v>1.6614652042754478E-2</v>
      </c>
      <c r="N52" s="180">
        <v>2.4453153717778606E-2</v>
      </c>
      <c r="O52" s="180">
        <v>3.0048550195766043E-2</v>
      </c>
      <c r="P52" s="180">
        <v>3.192880630180564E-2</v>
      </c>
      <c r="Q52" s="180">
        <v>3.5438688636160939E-2</v>
      </c>
      <c r="R52" s="180">
        <v>4.1039162865261748E-2</v>
      </c>
      <c r="S52" s="180">
        <v>5.194947707622475E-2</v>
      </c>
      <c r="T52" s="180">
        <v>7.0705706234216001E-2</v>
      </c>
      <c r="U52" s="180">
        <v>8.9210942750989369E-2</v>
      </c>
      <c r="V52" s="180">
        <v>8.5035786246756631E-2</v>
      </c>
      <c r="W52" s="180">
        <v>7.363258728172356E-2</v>
      </c>
      <c r="X52" s="180">
        <v>7.0416609190922991E-2</v>
      </c>
      <c r="Y52" s="180">
        <v>6.4898522123828128E-2</v>
      </c>
      <c r="Z52" s="180">
        <v>5.6062845797320175E-2</v>
      </c>
      <c r="AB52" s="180">
        <v>2.3270063598965381E-2</v>
      </c>
      <c r="AC52" s="180">
        <v>8.8813384592957793E-3</v>
      </c>
      <c r="AD52" s="180">
        <v>5.0325034977552197E-3</v>
      </c>
      <c r="AE52" s="180">
        <v>4.0830561537713358E-3</v>
      </c>
      <c r="AF52" s="180">
        <v>5.6587447167747856E-3</v>
      </c>
      <c r="AG52" s="180">
        <v>1.530177444438508E-2</v>
      </c>
      <c r="AH52" s="180">
        <v>2.1354156201041384E-2</v>
      </c>
      <c r="AI52" s="180">
        <v>4.0918272256577348E-2</v>
      </c>
      <c r="AJ52" s="180">
        <v>5.7949604607352247E-2</v>
      </c>
      <c r="AK52" s="180">
        <v>6.7329165446556052E-2</v>
      </c>
      <c r="AL52" s="180">
        <v>6.9159308782494266E-2</v>
      </c>
      <c r="AM52" s="180">
        <v>6.6572057828626588E-2</v>
      </c>
      <c r="AN52" s="180">
        <v>6.1410764404903652E-2</v>
      </c>
      <c r="AO52" s="180">
        <v>5.5778861913564293E-2</v>
      </c>
      <c r="AP52" s="180">
        <v>6.4410410674354573E-2</v>
      </c>
      <c r="AQ52" s="180">
        <v>5.8229944362607373E-2</v>
      </c>
      <c r="AR52" s="180">
        <v>6.0524303346135774E-2</v>
      </c>
      <c r="AS52" s="180">
        <v>6.7813476893445149E-2</v>
      </c>
      <c r="AT52" s="180">
        <v>6.5141039739432902E-2</v>
      </c>
      <c r="AU52" s="180">
        <v>6.9041730336131632E-2</v>
      </c>
      <c r="AV52" s="180">
        <v>4.6543546446315684E-2</v>
      </c>
      <c r="AW52" s="180">
        <v>3.0801092832907481E-2</v>
      </c>
      <c r="AX52" s="180">
        <v>2.0082460126996059E-2</v>
      </c>
      <c r="AY52" s="180">
        <v>1.4712322929609969E-2</v>
      </c>
      <c r="BA52" s="180">
        <v>2.1542498562247783E-2</v>
      </c>
      <c r="BB52" s="180">
        <v>2.0076563860687551E-2</v>
      </c>
      <c r="BC52" s="180">
        <v>1.8264496432287333E-2</v>
      </c>
      <c r="BD52" s="180">
        <v>1.4813930996216366E-2</v>
      </c>
      <c r="BE52" s="180">
        <v>1.3129188628859385E-2</v>
      </c>
      <c r="BF52" s="180">
        <v>1.4088379121139154E-2</v>
      </c>
      <c r="BG52" s="180">
        <v>4.0773975482753411E-2</v>
      </c>
      <c r="BH52" s="180">
        <v>6.0766773890762855E-2</v>
      </c>
      <c r="BI52" s="180">
        <v>7.1899179672334654E-2</v>
      </c>
      <c r="BJ52" s="180">
        <v>7.3858832787732531E-2</v>
      </c>
      <c r="BK52" s="180">
        <v>7.317522364150475E-2</v>
      </c>
      <c r="BL52" s="180">
        <v>7.071634762505298E-2</v>
      </c>
      <c r="BM52" s="180">
        <v>6.7962524053293435E-2</v>
      </c>
      <c r="BN52" s="180">
        <v>6.6101458457054438E-2</v>
      </c>
      <c r="BO52" s="180">
        <v>6.5275614822458389E-2</v>
      </c>
      <c r="BP52" s="180">
        <v>6.1489393187975493E-2</v>
      </c>
      <c r="BQ52" s="180">
        <v>5.2598432045909575E-2</v>
      </c>
      <c r="BR52" s="180">
        <v>4.1009015022246117E-2</v>
      </c>
      <c r="BS52" s="180">
        <v>3.3981213347918399E-2</v>
      </c>
      <c r="BT52" s="180">
        <v>2.9476323556195328E-2</v>
      </c>
      <c r="BU52" s="180">
        <v>2.3851788169135409E-2</v>
      </c>
      <c r="BV52" s="180">
        <v>2.3400644722730034E-2</v>
      </c>
      <c r="BW52" s="180">
        <v>2.0615961043589748E-2</v>
      </c>
      <c r="BX52" s="180">
        <v>2.1132240869914928E-2</v>
      </c>
    </row>
    <row r="53" spans="1:78" x14ac:dyDescent="0.35">
      <c r="A53" s="85">
        <v>3</v>
      </c>
      <c r="C53" s="180">
        <v>4.8484489776820891E-2</v>
      </c>
      <c r="D53" s="180">
        <v>3.9621052978750522E-2</v>
      </c>
      <c r="E53" s="180">
        <v>3.2476989952763401E-2</v>
      </c>
      <c r="F53" s="180">
        <v>2.7313337532910976E-2</v>
      </c>
      <c r="G53" s="180">
        <v>2.3523685855351844E-2</v>
      </c>
      <c r="H53" s="180">
        <v>2.0941120693456328E-2</v>
      </c>
      <c r="I53" s="180">
        <v>1.823784656522404E-2</v>
      </c>
      <c r="J53" s="180">
        <v>1.5917249945292197E-2</v>
      </c>
      <c r="K53" s="180">
        <v>1.5300353475835016E-2</v>
      </c>
      <c r="L53" s="180">
        <v>1.6015839995464558E-2</v>
      </c>
      <c r="M53" s="180">
        <v>1.6661385606034626E-2</v>
      </c>
      <c r="N53" s="180">
        <v>2.4099912750126847E-2</v>
      </c>
      <c r="O53" s="180">
        <v>2.988082184192388E-2</v>
      </c>
      <c r="P53" s="180">
        <v>3.1820275301670572E-2</v>
      </c>
      <c r="Q53" s="180">
        <v>3.498169577677842E-2</v>
      </c>
      <c r="R53" s="180">
        <v>4.0739624819157029E-2</v>
      </c>
      <c r="S53" s="180">
        <v>5.1947351087260757E-2</v>
      </c>
      <c r="T53" s="180">
        <v>7.1215859207372001E-2</v>
      </c>
      <c r="U53" s="180">
        <v>8.9872187316899471E-2</v>
      </c>
      <c r="V53" s="180">
        <v>8.5551806347393108E-2</v>
      </c>
      <c r="W53" s="180">
        <v>7.4074015251990533E-2</v>
      </c>
      <c r="X53" s="180">
        <v>7.0534066498670472E-2</v>
      </c>
      <c r="Y53" s="180">
        <v>6.4857649826505104E-2</v>
      </c>
      <c r="Z53" s="180">
        <v>5.593138159634737E-2</v>
      </c>
      <c r="AB53" s="180">
        <v>2.1579191290436707E-2</v>
      </c>
      <c r="AC53" s="180">
        <v>8.4045973482257102E-3</v>
      </c>
      <c r="AD53" s="180">
        <v>4.9139167686016163E-3</v>
      </c>
      <c r="AE53" s="180">
        <v>4.0657954968359566E-3</v>
      </c>
      <c r="AF53" s="180">
        <v>5.8622747283458782E-3</v>
      </c>
      <c r="AG53" s="180">
        <v>1.5905510792390734E-2</v>
      </c>
      <c r="AH53" s="180">
        <v>2.1932076496559125E-2</v>
      </c>
      <c r="AI53" s="180">
        <v>4.1687326739469906E-2</v>
      </c>
      <c r="AJ53" s="180">
        <v>5.7785287212968932E-2</v>
      </c>
      <c r="AK53" s="180">
        <v>6.7116729010375992E-2</v>
      </c>
      <c r="AL53" s="180">
        <v>6.8743176045896429E-2</v>
      </c>
      <c r="AM53" s="180">
        <v>6.6333870810471859E-2</v>
      </c>
      <c r="AN53" s="180">
        <v>6.0730768193781981E-2</v>
      </c>
      <c r="AO53" s="180">
        <v>5.5617181152900291E-2</v>
      </c>
      <c r="AP53" s="180">
        <v>6.4197918991145922E-2</v>
      </c>
      <c r="AQ53" s="180">
        <v>5.8204638743500209E-2</v>
      </c>
      <c r="AR53" s="180">
        <v>6.1056553563869818E-2</v>
      </c>
      <c r="AS53" s="180">
        <v>6.843647702563474E-2</v>
      </c>
      <c r="AT53" s="180">
        <v>6.4701140091869322E-2</v>
      </c>
      <c r="AU53" s="180">
        <v>6.9678302327607564E-2</v>
      </c>
      <c r="AV53" s="180">
        <v>4.722872177670271E-2</v>
      </c>
      <c r="AW53" s="180">
        <v>3.0652057969509927E-2</v>
      </c>
      <c r="AX53" s="180">
        <v>2.0191343911274202E-2</v>
      </c>
      <c r="AY53" s="180">
        <v>1.4975143511624401E-2</v>
      </c>
      <c r="BA53" s="180">
        <v>2.1258966558089135E-2</v>
      </c>
      <c r="BB53" s="180">
        <v>1.9809654174644042E-2</v>
      </c>
      <c r="BC53" s="180">
        <v>1.7983021187085304E-2</v>
      </c>
      <c r="BD53" s="180">
        <v>1.4531283499717428E-2</v>
      </c>
      <c r="BE53" s="180">
        <v>1.2922145156759596E-2</v>
      </c>
      <c r="BF53" s="180">
        <v>1.3877256659246008E-2</v>
      </c>
      <c r="BG53" s="180">
        <v>4.077444929852804E-2</v>
      </c>
      <c r="BH53" s="180">
        <v>6.0783861410962481E-2</v>
      </c>
      <c r="BI53" s="180">
        <v>7.2011789162486531E-2</v>
      </c>
      <c r="BJ53" s="180">
        <v>7.3987653276560289E-2</v>
      </c>
      <c r="BK53" s="180">
        <v>7.3396007174680172E-2</v>
      </c>
      <c r="BL53" s="180">
        <v>7.1138163620735453E-2</v>
      </c>
      <c r="BM53" s="180">
        <v>6.8295512170153963E-2</v>
      </c>
      <c r="BN53" s="180">
        <v>6.6364613306539616E-2</v>
      </c>
      <c r="BO53" s="180">
        <v>6.541584116505593E-2</v>
      </c>
      <c r="BP53" s="180">
        <v>6.1607210265579984E-2</v>
      </c>
      <c r="BQ53" s="180">
        <v>5.2661690470509052E-2</v>
      </c>
      <c r="BR53" s="180">
        <v>4.1148166629326591E-2</v>
      </c>
      <c r="BS53" s="180">
        <v>3.4183487845036074E-2</v>
      </c>
      <c r="BT53" s="180">
        <v>2.9271787403185718E-2</v>
      </c>
      <c r="BU53" s="180">
        <v>2.3554174208911195E-2</v>
      </c>
      <c r="BV53" s="180">
        <v>2.3196305005358537E-2</v>
      </c>
      <c r="BW53" s="180">
        <v>2.0590243861833914E-2</v>
      </c>
      <c r="BX53" s="180">
        <v>2.1236716489014686E-2</v>
      </c>
    </row>
    <row r="54" spans="1:78" x14ac:dyDescent="0.35">
      <c r="A54" s="85">
        <v>4</v>
      </c>
      <c r="C54" s="180">
        <v>4.8709092768318966E-2</v>
      </c>
      <c r="D54" s="180">
        <v>3.9915637298907708E-2</v>
      </c>
      <c r="E54" s="180">
        <v>3.2723988917262622E-2</v>
      </c>
      <c r="F54" s="180">
        <v>2.754098369479031E-2</v>
      </c>
      <c r="G54" s="180">
        <v>2.3754813835751516E-2</v>
      </c>
      <c r="H54" s="180">
        <v>2.1078281283190753E-2</v>
      </c>
      <c r="I54" s="180">
        <v>1.8343503012960925E-2</v>
      </c>
      <c r="J54" s="180">
        <v>1.6101863790731315E-2</v>
      </c>
      <c r="K54" s="180">
        <v>1.547384776612905E-2</v>
      </c>
      <c r="L54" s="180">
        <v>1.5871135409932131E-2</v>
      </c>
      <c r="M54" s="180">
        <v>1.6567923842578595E-2</v>
      </c>
      <c r="N54" s="180">
        <v>2.4924015702093801E-2</v>
      </c>
      <c r="O54" s="180">
        <v>3.0090876221871132E-2</v>
      </c>
      <c r="P54" s="180">
        <v>3.1990774309986522E-2</v>
      </c>
      <c r="Q54" s="180">
        <v>3.6092136026680703E-2</v>
      </c>
      <c r="R54" s="180">
        <v>4.144686103087402E-2</v>
      </c>
      <c r="S54" s="180">
        <v>5.1920118550149282E-2</v>
      </c>
      <c r="T54" s="180">
        <v>7.0190407736931137E-2</v>
      </c>
      <c r="U54" s="180">
        <v>8.8049985002277953E-2</v>
      </c>
      <c r="V54" s="180">
        <v>8.4310671632883916E-2</v>
      </c>
      <c r="W54" s="180">
        <v>7.3166285601282938E-2</v>
      </c>
      <c r="X54" s="180">
        <v>7.0330946715892156E-2</v>
      </c>
      <c r="Y54" s="180">
        <v>6.5104813374982473E-2</v>
      </c>
      <c r="Z54" s="180">
        <v>5.6301036473540234E-2</v>
      </c>
      <c r="AB54" s="180">
        <v>2.4210981265557426E-2</v>
      </c>
      <c r="AC54" s="180">
        <v>9.8673938139636798E-3</v>
      </c>
      <c r="AD54" s="180">
        <v>5.5929143816721896E-3</v>
      </c>
      <c r="AE54" s="180">
        <v>4.8337165999601814E-3</v>
      </c>
      <c r="AF54" s="180">
        <v>6.1868024564478534E-3</v>
      </c>
      <c r="AG54" s="180">
        <v>1.5175514458012579E-2</v>
      </c>
      <c r="AH54" s="180">
        <v>2.093988773661978E-2</v>
      </c>
      <c r="AI54" s="180">
        <v>4.0045530978722196E-2</v>
      </c>
      <c r="AJ54" s="180">
        <v>5.7120620791026255E-2</v>
      </c>
      <c r="AK54" s="180">
        <v>6.6773492294562392E-2</v>
      </c>
      <c r="AL54" s="180">
        <v>6.9191411855780732E-2</v>
      </c>
      <c r="AM54" s="180">
        <v>6.6345688261275348E-2</v>
      </c>
      <c r="AN54" s="180">
        <v>6.2020049108057758E-2</v>
      </c>
      <c r="AO54" s="180">
        <v>5.5772457124635751E-2</v>
      </c>
      <c r="AP54" s="180">
        <v>6.4608974961983992E-2</v>
      </c>
      <c r="AQ54" s="180">
        <v>5.8227555594833162E-2</v>
      </c>
      <c r="AR54" s="180">
        <v>6.0248880169182902E-2</v>
      </c>
      <c r="AS54" s="180">
        <v>6.642073127835213E-2</v>
      </c>
      <c r="AT54" s="180">
        <v>6.4450838331803331E-2</v>
      </c>
      <c r="AU54" s="180">
        <v>6.8398321971106735E-2</v>
      </c>
      <c r="AV54" s="180">
        <v>4.6223543589862651E-2</v>
      </c>
      <c r="AW54" s="180">
        <v>3.1176429010170502E-2</v>
      </c>
      <c r="AX54" s="180">
        <v>2.0923953702226609E-2</v>
      </c>
      <c r="AY54" s="180">
        <v>1.5244310264183937E-2</v>
      </c>
      <c r="BA54" s="180">
        <v>2.2041857459847509E-2</v>
      </c>
      <c r="BB54" s="180">
        <v>2.0490944627456223E-2</v>
      </c>
      <c r="BC54" s="180">
        <v>1.8578894075606669E-2</v>
      </c>
      <c r="BD54" s="180">
        <v>1.5145164424267136E-2</v>
      </c>
      <c r="BE54" s="180">
        <v>1.3403903215513522E-2</v>
      </c>
      <c r="BF54" s="180">
        <v>1.4312087689432788E-2</v>
      </c>
      <c r="BG54" s="180">
        <v>4.1060796097526775E-2</v>
      </c>
      <c r="BH54" s="180">
        <v>6.0938495855459379E-2</v>
      </c>
      <c r="BI54" s="180">
        <v>7.1838439395219944E-2</v>
      </c>
      <c r="BJ54" s="180">
        <v>7.3716744087427982E-2</v>
      </c>
      <c r="BK54" s="180">
        <v>7.3055310798964976E-2</v>
      </c>
      <c r="BL54" s="180">
        <v>7.0153232105559973E-2</v>
      </c>
      <c r="BM54" s="180">
        <v>6.7359956233584178E-2</v>
      </c>
      <c r="BN54" s="180">
        <v>6.5451452079146683E-2</v>
      </c>
      <c r="BO54" s="180">
        <v>6.4756934391193718E-2</v>
      </c>
      <c r="BP54" s="180">
        <v>6.1139557831056242E-2</v>
      </c>
      <c r="BQ54" s="180">
        <v>5.2144486278006184E-2</v>
      </c>
      <c r="BR54" s="180">
        <v>4.0615197996131787E-2</v>
      </c>
      <c r="BS54" s="180">
        <v>3.3552476863503621E-2</v>
      </c>
      <c r="BT54" s="180">
        <v>2.9514172738580348E-2</v>
      </c>
      <c r="BU54" s="180">
        <v>2.41032701426129E-2</v>
      </c>
      <c r="BV54" s="180">
        <v>2.3867764684405091E-2</v>
      </c>
      <c r="BW54" s="180">
        <v>2.1051313820591801E-2</v>
      </c>
      <c r="BX54" s="180">
        <v>2.1707547108904629E-2</v>
      </c>
    </row>
    <row r="55" spans="1:78" x14ac:dyDescent="0.35">
      <c r="A55" s="85">
        <v>5</v>
      </c>
      <c r="C55" s="180">
        <v>4.9021969326681104E-2</v>
      </c>
      <c r="D55" s="180">
        <v>4.0037240059143914E-2</v>
      </c>
      <c r="E55" s="180">
        <v>3.2761549436973118E-2</v>
      </c>
      <c r="F55" s="180">
        <v>2.743122152406216E-2</v>
      </c>
      <c r="G55" s="180">
        <v>2.3632131705250407E-2</v>
      </c>
      <c r="H55" s="180">
        <v>2.1004861054205314E-2</v>
      </c>
      <c r="I55" s="180">
        <v>1.8183967791316293E-2</v>
      </c>
      <c r="J55" s="180">
        <v>1.5935479566654826E-2</v>
      </c>
      <c r="K55" s="180">
        <v>1.5180294195944658E-2</v>
      </c>
      <c r="L55" s="180">
        <v>1.5829741052420028E-2</v>
      </c>
      <c r="M55" s="180">
        <v>1.6662982866297114E-2</v>
      </c>
      <c r="N55" s="180">
        <v>2.414904538258008E-2</v>
      </c>
      <c r="O55" s="180">
        <v>2.9939782277776557E-2</v>
      </c>
      <c r="P55" s="180">
        <v>3.1769861397156256E-2</v>
      </c>
      <c r="Q55" s="180">
        <v>3.503084500236045E-2</v>
      </c>
      <c r="R55" s="180">
        <v>4.0726671602092819E-2</v>
      </c>
      <c r="S55" s="180">
        <v>5.1857846523250033E-2</v>
      </c>
      <c r="T55" s="180">
        <v>7.0687156316464633E-2</v>
      </c>
      <c r="U55" s="180">
        <v>8.9989301409932956E-2</v>
      </c>
      <c r="V55" s="180">
        <v>8.537320511408783E-2</v>
      </c>
      <c r="W55" s="180">
        <v>7.3753859377461303E-2</v>
      </c>
      <c r="X55" s="180">
        <v>7.0414053567990881E-2</v>
      </c>
      <c r="Y55" s="180">
        <v>6.4698233780743034E-2</v>
      </c>
      <c r="Z55" s="180">
        <v>5.5928699669154355E-2</v>
      </c>
      <c r="AB55" s="180">
        <v>2.398176134738144E-2</v>
      </c>
      <c r="AC55" s="180">
        <v>9.6436608940549638E-3</v>
      </c>
      <c r="AD55" s="180">
        <v>5.3913422745680223E-3</v>
      </c>
      <c r="AE55" s="180">
        <v>4.6669959451254251E-3</v>
      </c>
      <c r="AF55" s="180">
        <v>6.2528635735990276E-3</v>
      </c>
      <c r="AG55" s="180">
        <v>1.6141360280937305E-2</v>
      </c>
      <c r="AH55" s="180">
        <v>2.2020140529620948E-2</v>
      </c>
      <c r="AI55" s="180">
        <v>4.108842217928383E-2</v>
      </c>
      <c r="AJ55" s="180">
        <v>5.844105557907512E-2</v>
      </c>
      <c r="AK55" s="180">
        <v>6.7500781121937969E-2</v>
      </c>
      <c r="AL55" s="180">
        <v>6.870280107322671E-2</v>
      </c>
      <c r="AM55" s="180">
        <v>6.6131569230149997E-2</v>
      </c>
      <c r="AN55" s="180">
        <v>6.0824602647779238E-2</v>
      </c>
      <c r="AO55" s="180">
        <v>5.5302988152778815E-2</v>
      </c>
      <c r="AP55" s="180">
        <v>6.4021590871385536E-2</v>
      </c>
      <c r="AQ55" s="180">
        <v>5.7806164564260819E-2</v>
      </c>
      <c r="AR55" s="180">
        <v>5.9769778371632769E-2</v>
      </c>
      <c r="AS55" s="180">
        <v>6.7923690372655443E-2</v>
      </c>
      <c r="AT55" s="180">
        <v>6.5191264657664172E-2</v>
      </c>
      <c r="AU55" s="180">
        <v>6.8205833872050828E-2</v>
      </c>
      <c r="AV55" s="180">
        <v>4.5843276821690225E-2</v>
      </c>
      <c r="AW55" s="180">
        <v>3.0372433238613186E-2</v>
      </c>
      <c r="AX55" s="180">
        <v>1.975306680245395E-2</v>
      </c>
      <c r="AY55" s="180">
        <v>1.5022555598074297E-2</v>
      </c>
      <c r="BA55" s="180">
        <v>2.1396089370431574E-2</v>
      </c>
      <c r="BB55" s="180">
        <v>2.0056513195657211E-2</v>
      </c>
      <c r="BC55" s="180">
        <v>1.8371725450976751E-2</v>
      </c>
      <c r="BD55" s="180">
        <v>1.4951553652097795E-2</v>
      </c>
      <c r="BE55" s="180">
        <v>1.3286180758677508E-2</v>
      </c>
      <c r="BF55" s="180">
        <v>1.4317311617354733E-2</v>
      </c>
      <c r="BG55" s="180">
        <v>4.0757801000099701E-2</v>
      </c>
      <c r="BH55" s="180">
        <v>6.0471193169003699E-2</v>
      </c>
      <c r="BI55" s="180">
        <v>7.1610458660615578E-2</v>
      </c>
      <c r="BJ55" s="180">
        <v>7.3484832092264682E-2</v>
      </c>
      <c r="BK55" s="180">
        <v>7.2828157961061193E-2</v>
      </c>
      <c r="BL55" s="180">
        <v>7.0662515083793662E-2</v>
      </c>
      <c r="BM55" s="180">
        <v>6.807378358996255E-2</v>
      </c>
      <c r="BN55" s="180">
        <v>6.6420176992792679E-2</v>
      </c>
      <c r="BO55" s="180">
        <v>6.5478615161142312E-2</v>
      </c>
      <c r="BP55" s="180">
        <v>6.156914887949691E-2</v>
      </c>
      <c r="BQ55" s="180">
        <v>5.2829298964721529E-2</v>
      </c>
      <c r="BR55" s="180">
        <v>4.1207343703640008E-2</v>
      </c>
      <c r="BS55" s="180">
        <v>3.4219003517083887E-2</v>
      </c>
      <c r="BT55" s="180">
        <v>2.9555147659113452E-2</v>
      </c>
      <c r="BU55" s="180">
        <v>2.3836646930767511E-2</v>
      </c>
      <c r="BV55" s="180">
        <v>2.3159326531678841E-2</v>
      </c>
      <c r="BW55" s="180">
        <v>2.0477538545462047E-2</v>
      </c>
      <c r="BX55" s="180">
        <v>2.0979637512104157E-2</v>
      </c>
    </row>
    <row r="56" spans="1:78" x14ac:dyDescent="0.35">
      <c r="A56" s="85">
        <v>6</v>
      </c>
      <c r="C56" s="180">
        <v>5.1806441932544023E-2</v>
      </c>
      <c r="D56" s="180">
        <v>4.1705860053637279E-2</v>
      </c>
      <c r="E56" s="180">
        <v>3.2972109734016056E-2</v>
      </c>
      <c r="F56" s="180">
        <v>2.6770375368642702E-2</v>
      </c>
      <c r="G56" s="180">
        <v>2.222648193283E-2</v>
      </c>
      <c r="H56" s="180">
        <v>1.8794269528576487E-2</v>
      </c>
      <c r="I56" s="180">
        <v>1.6252057028000578E-2</v>
      </c>
      <c r="J56" s="180">
        <v>1.6067057564758024E-2</v>
      </c>
      <c r="K56" s="180">
        <v>1.5848724335958422E-2</v>
      </c>
      <c r="L56" s="180">
        <v>1.417095537019976E-2</v>
      </c>
      <c r="M56" s="180">
        <v>1.5716675201512292E-2</v>
      </c>
      <c r="N56" s="180">
        <v>2.3070688959489057E-2</v>
      </c>
      <c r="O56" s="180">
        <v>2.9551634760876008E-2</v>
      </c>
      <c r="P56" s="180">
        <v>3.2110571399848742E-2</v>
      </c>
      <c r="Q56" s="180">
        <v>3.4518089907863453E-2</v>
      </c>
      <c r="R56" s="180">
        <v>3.9559491901593372E-2</v>
      </c>
      <c r="S56" s="180">
        <v>5.5405344565276668E-2</v>
      </c>
      <c r="T56" s="180">
        <v>7.5281360684615328E-2</v>
      </c>
      <c r="U56" s="180">
        <v>9.0731153696845396E-2</v>
      </c>
      <c r="V56" s="180">
        <v>8.348440841046062E-2</v>
      </c>
      <c r="W56" s="180">
        <v>7.1195495397176387E-2</v>
      </c>
      <c r="X56" s="180">
        <v>6.9562540202474182E-2</v>
      </c>
      <c r="Y56" s="180">
        <v>6.7092195923474054E-2</v>
      </c>
      <c r="Z56" s="180">
        <v>5.6106016139330979E-2</v>
      </c>
      <c r="AB56" s="180">
        <v>1.8250091503827916E-2</v>
      </c>
      <c r="AC56" s="180">
        <v>9.0197101218191904E-3</v>
      </c>
      <c r="AD56" s="180">
        <v>6.230828899555502E-3</v>
      </c>
      <c r="AE56" s="180">
        <v>5.961220006040607E-3</v>
      </c>
      <c r="AF56" s="180">
        <v>5.7396363938452448E-3</v>
      </c>
      <c r="AG56" s="180">
        <v>1.543338499566164E-2</v>
      </c>
      <c r="AH56" s="180">
        <v>2.3421230281372721E-2</v>
      </c>
      <c r="AI56" s="180">
        <v>3.1437682804409756E-2</v>
      </c>
      <c r="AJ56" s="180">
        <v>5.8924330527258005E-2</v>
      </c>
      <c r="AK56" s="180">
        <v>6.3235941431982703E-2</v>
      </c>
      <c r="AL56" s="180">
        <v>7.2343255069679105E-2</v>
      </c>
      <c r="AM56" s="180">
        <v>7.0797446136269121E-2</v>
      </c>
      <c r="AN56" s="180">
        <v>6.9970204711381573E-2</v>
      </c>
      <c r="AO56" s="180">
        <v>7.1525692142609287E-2</v>
      </c>
      <c r="AP56" s="180">
        <v>6.5310186900883971E-2</v>
      </c>
      <c r="AQ56" s="180">
        <v>6.521246294587861E-2</v>
      </c>
      <c r="AR56" s="180">
        <v>4.9762903457936325E-2</v>
      </c>
      <c r="AS56" s="180">
        <v>5.7181898595121794E-2</v>
      </c>
      <c r="AT56" s="180">
        <v>6.7686988373687362E-2</v>
      </c>
      <c r="AU56" s="180">
        <v>5.5643993952435765E-2</v>
      </c>
      <c r="AV56" s="180">
        <v>4.2577066303397137E-2</v>
      </c>
      <c r="AW56" s="180">
        <v>3.0236995902925404E-2</v>
      </c>
      <c r="AX56" s="180">
        <v>2.3263520274583893E-2</v>
      </c>
      <c r="AY56" s="180">
        <v>2.0833328267437379E-2</v>
      </c>
      <c r="BA56" s="180">
        <v>2.6005311130124064E-2</v>
      </c>
      <c r="BB56" s="180">
        <v>2.1944823937917083E-2</v>
      </c>
      <c r="BC56" s="180">
        <v>1.882178121804879E-2</v>
      </c>
      <c r="BD56" s="180">
        <v>1.5785542703571773E-2</v>
      </c>
      <c r="BE56" s="180">
        <v>1.3690122003856652E-2</v>
      </c>
      <c r="BF56" s="180">
        <v>1.8704240777410567E-2</v>
      </c>
      <c r="BG56" s="180">
        <v>4.0472120458000194E-2</v>
      </c>
      <c r="BH56" s="180">
        <v>5.6644830137079619E-2</v>
      </c>
      <c r="BI56" s="180">
        <v>5.8522344306188072E-2</v>
      </c>
      <c r="BJ56" s="180">
        <v>5.8460358583659153E-2</v>
      </c>
      <c r="BK56" s="180">
        <v>5.9703740336786756E-2</v>
      </c>
      <c r="BL56" s="180">
        <v>5.8588500445904072E-2</v>
      </c>
      <c r="BM56" s="180">
        <v>5.7366752601037053E-2</v>
      </c>
      <c r="BN56" s="180">
        <v>5.5007425645960902E-2</v>
      </c>
      <c r="BO56" s="180">
        <v>5.2950669644627732E-2</v>
      </c>
      <c r="BP56" s="180">
        <v>5.457555829423992E-2</v>
      </c>
      <c r="BQ56" s="180">
        <v>5.2993881791410888E-2</v>
      </c>
      <c r="BR56" s="180">
        <v>5.2446118090742164E-2</v>
      </c>
      <c r="BS56" s="180">
        <v>4.9564522662178985E-2</v>
      </c>
      <c r="BT56" s="180">
        <v>4.5384857708408562E-2</v>
      </c>
      <c r="BU56" s="180">
        <v>3.9836052451924453E-2</v>
      </c>
      <c r="BV56" s="180">
        <v>3.2119939267562E-2</v>
      </c>
      <c r="BW56" s="180">
        <v>3.0996492701081534E-2</v>
      </c>
      <c r="BX56" s="180">
        <v>2.9414013102279032E-2</v>
      </c>
    </row>
    <row r="57" spans="1:78" x14ac:dyDescent="0.35">
      <c r="A57" s="85">
        <v>7</v>
      </c>
      <c r="C57" s="180">
        <v>5.2795301659926519E-2</v>
      </c>
      <c r="D57" s="180">
        <v>4.248932723923371E-2</v>
      </c>
      <c r="E57" s="180">
        <v>3.3435665780225561E-2</v>
      </c>
      <c r="F57" s="180">
        <v>2.7008839309721869E-2</v>
      </c>
      <c r="G57" s="180">
        <v>2.2323788137306757E-2</v>
      </c>
      <c r="H57" s="180">
        <v>1.8879682462877186E-2</v>
      </c>
      <c r="I57" s="180">
        <v>1.6371342127441832E-2</v>
      </c>
      <c r="J57" s="180">
        <v>1.6127914603709999E-2</v>
      </c>
      <c r="K57" s="180">
        <v>1.5581993150563495E-2</v>
      </c>
      <c r="L57" s="180">
        <v>1.4206522419126365E-2</v>
      </c>
      <c r="M57" s="180">
        <v>1.5446215913246162E-2</v>
      </c>
      <c r="N57" s="180">
        <v>2.280040554807292E-2</v>
      </c>
      <c r="O57" s="180">
        <v>2.9568247750640167E-2</v>
      </c>
      <c r="P57" s="180">
        <v>3.2633551804988566E-2</v>
      </c>
      <c r="Q57" s="180">
        <v>3.522846476079209E-2</v>
      </c>
      <c r="R57" s="180">
        <v>3.9807621776660605E-2</v>
      </c>
      <c r="S57" s="180">
        <v>5.5587223855922588E-2</v>
      </c>
      <c r="T57" s="180">
        <v>7.5001157762252357E-2</v>
      </c>
      <c r="U57" s="180">
        <v>9.025639824707625E-2</v>
      </c>
      <c r="V57" s="180">
        <v>8.2927704252760859E-2</v>
      </c>
      <c r="W57" s="180">
        <v>7.0702438993291969E-2</v>
      </c>
      <c r="X57" s="180">
        <v>6.8942127429711147E-2</v>
      </c>
      <c r="Y57" s="180">
        <v>6.632314544139746E-2</v>
      </c>
      <c r="Z57" s="180">
        <v>5.5554919573053529E-2</v>
      </c>
      <c r="AB57" s="180">
        <v>2.0232481480247765E-2</v>
      </c>
      <c r="AC57" s="180">
        <v>9.3865214093318289E-3</v>
      </c>
      <c r="AD57" s="180">
        <v>6.3059324944387072E-3</v>
      </c>
      <c r="AE57" s="180">
        <v>6.0332824422166019E-3</v>
      </c>
      <c r="AF57" s="180">
        <v>5.8478381977292359E-3</v>
      </c>
      <c r="AG57" s="180">
        <v>1.4526175798787328E-2</v>
      </c>
      <c r="AH57" s="180">
        <v>2.2690617966788069E-2</v>
      </c>
      <c r="AI57" s="180">
        <v>3.0624649125453082E-2</v>
      </c>
      <c r="AJ57" s="180">
        <v>5.742874969964383E-2</v>
      </c>
      <c r="AK57" s="180">
        <v>6.1972107060693934E-2</v>
      </c>
      <c r="AL57" s="180">
        <v>7.349464109458001E-2</v>
      </c>
      <c r="AM57" s="180">
        <v>7.2283436258857664E-2</v>
      </c>
      <c r="AN57" s="180">
        <v>7.094233527411048E-2</v>
      </c>
      <c r="AO57" s="180">
        <v>7.2347469699932693E-2</v>
      </c>
      <c r="AP57" s="180">
        <v>6.5938398073387097E-2</v>
      </c>
      <c r="AQ57" s="180">
        <v>6.6166803295607354E-2</v>
      </c>
      <c r="AR57" s="180">
        <v>4.9853988671682038E-2</v>
      </c>
      <c r="AS57" s="180">
        <v>5.6185126356567409E-2</v>
      </c>
      <c r="AT57" s="180">
        <v>6.6722783119302215E-2</v>
      </c>
      <c r="AU57" s="180">
        <v>5.4722130080402012E-2</v>
      </c>
      <c r="AV57" s="180">
        <v>4.2424092615328354E-2</v>
      </c>
      <c r="AW57" s="180">
        <v>2.9585625476331156E-2</v>
      </c>
      <c r="AX57" s="180">
        <v>2.3193996504290285E-2</v>
      </c>
      <c r="AY57" s="180">
        <v>2.1090817804290923E-2</v>
      </c>
      <c r="BA57" s="180">
        <v>2.817319184687158E-2</v>
      </c>
      <c r="BB57" s="180">
        <v>2.3795974466732636E-2</v>
      </c>
      <c r="BC57" s="180">
        <v>2.0551833403456496E-2</v>
      </c>
      <c r="BD57" s="180">
        <v>1.7374796364193867E-2</v>
      </c>
      <c r="BE57" s="180">
        <v>1.5275653686407929E-2</v>
      </c>
      <c r="BF57" s="180">
        <v>2.0081591300856374E-2</v>
      </c>
      <c r="BG57" s="180">
        <v>4.0454990657068611E-2</v>
      </c>
      <c r="BH57" s="180">
        <v>5.6511643977903481E-2</v>
      </c>
      <c r="BI57" s="180">
        <v>5.8238426845795506E-2</v>
      </c>
      <c r="BJ57" s="180">
        <v>5.8166037891768538E-2</v>
      </c>
      <c r="BK57" s="180">
        <v>5.9382424971098864E-2</v>
      </c>
      <c r="BL57" s="180">
        <v>5.8175248206633633E-2</v>
      </c>
      <c r="BM57" s="180">
        <v>5.6759508806382579E-2</v>
      </c>
      <c r="BN57" s="180">
        <v>5.3992090203779791E-2</v>
      </c>
      <c r="BO57" s="180">
        <v>5.1533039625891196E-2</v>
      </c>
      <c r="BP57" s="180">
        <v>5.3502671397034948E-2</v>
      </c>
      <c r="BQ57" s="180">
        <v>5.1934763840899366E-2</v>
      </c>
      <c r="BR57" s="180">
        <v>5.1645565284563558E-2</v>
      </c>
      <c r="BS57" s="180">
        <v>4.8659255502079224E-2</v>
      </c>
      <c r="BT57" s="180">
        <v>4.4436559298394435E-2</v>
      </c>
      <c r="BU57" s="180">
        <v>3.8898041015123903E-2</v>
      </c>
      <c r="BV57" s="180">
        <v>3.1543482257065283E-2</v>
      </c>
      <c r="BW57" s="180">
        <v>3.1205832227079434E-2</v>
      </c>
      <c r="BX57" s="180">
        <v>2.9707376922918624E-2</v>
      </c>
    </row>
    <row r="58" spans="1:78" x14ac:dyDescent="0.35">
      <c r="A58" s="85">
        <v>8</v>
      </c>
      <c r="C58" s="180">
        <v>5.149298322117022E-2</v>
      </c>
      <c r="D58" s="180">
        <v>4.1553584917273539E-2</v>
      </c>
      <c r="E58" s="180">
        <v>3.276740815758749E-2</v>
      </c>
      <c r="F58" s="180">
        <v>2.6604865199779441E-2</v>
      </c>
      <c r="G58" s="180">
        <v>2.2119045363115195E-2</v>
      </c>
      <c r="H58" s="180">
        <v>1.8744057568585326E-2</v>
      </c>
      <c r="I58" s="180">
        <v>1.6200644241422202E-2</v>
      </c>
      <c r="J58" s="180">
        <v>1.6044848990274526E-2</v>
      </c>
      <c r="K58" s="180">
        <v>1.5821516943363111E-2</v>
      </c>
      <c r="L58" s="180">
        <v>1.4168184736674314E-2</v>
      </c>
      <c r="M58" s="180">
        <v>1.5783682648464463E-2</v>
      </c>
      <c r="N58" s="180">
        <v>2.2823281909538987E-2</v>
      </c>
      <c r="O58" s="180">
        <v>2.9041042949977492E-2</v>
      </c>
      <c r="P58" s="180">
        <v>3.1672358462149212E-2</v>
      </c>
      <c r="Q58" s="180">
        <v>3.4471883456618314E-2</v>
      </c>
      <c r="R58" s="180">
        <v>3.9411541116634904E-2</v>
      </c>
      <c r="S58" s="180">
        <v>5.5124189200358498E-2</v>
      </c>
      <c r="T58" s="180">
        <v>7.5671187275548099E-2</v>
      </c>
      <c r="U58" s="180">
        <v>9.2569739211909641E-2</v>
      </c>
      <c r="V58" s="180">
        <v>8.4880772930231357E-2</v>
      </c>
      <c r="W58" s="180">
        <v>7.2121308633150416E-2</v>
      </c>
      <c r="X58" s="180">
        <v>6.9446893630683917E-2</v>
      </c>
      <c r="Y58" s="180">
        <v>6.6208330920286745E-2</v>
      </c>
      <c r="Z58" s="180">
        <v>5.5256648315202384E-2</v>
      </c>
      <c r="AB58" s="180">
        <v>1.8315240809097622E-2</v>
      </c>
      <c r="AC58" s="180">
        <v>9.0034859172196009E-3</v>
      </c>
      <c r="AD58" s="180">
        <v>6.185148177268061E-3</v>
      </c>
      <c r="AE58" s="180">
        <v>5.9122844959856617E-3</v>
      </c>
      <c r="AF58" s="180">
        <v>5.8296997707428383E-3</v>
      </c>
      <c r="AG58" s="180">
        <v>1.5908758701996661E-2</v>
      </c>
      <c r="AH58" s="180">
        <v>2.3500734293018421E-2</v>
      </c>
      <c r="AI58" s="180">
        <v>3.1447478037197607E-2</v>
      </c>
      <c r="AJ58" s="180">
        <v>5.9870891666871741E-2</v>
      </c>
      <c r="AK58" s="180">
        <v>6.461477559311421E-2</v>
      </c>
      <c r="AL58" s="180">
        <v>7.3401678585993585E-2</v>
      </c>
      <c r="AM58" s="180">
        <v>7.1636296412669165E-2</v>
      </c>
      <c r="AN58" s="180">
        <v>7.0816882648666132E-2</v>
      </c>
      <c r="AO58" s="180">
        <v>7.2025364708632716E-2</v>
      </c>
      <c r="AP58" s="180">
        <v>6.5979995910622993E-2</v>
      </c>
      <c r="AQ58" s="180">
        <v>6.5811692049451129E-2</v>
      </c>
      <c r="AR58" s="180">
        <v>4.9648019483803658E-2</v>
      </c>
      <c r="AS58" s="180">
        <v>5.6725196133902686E-2</v>
      </c>
      <c r="AT58" s="180">
        <v>6.795785061008594E-2</v>
      </c>
      <c r="AU58" s="180">
        <v>5.3981842039362189E-2</v>
      </c>
      <c r="AV58" s="180">
        <v>4.153954046645858E-2</v>
      </c>
      <c r="AW58" s="180">
        <v>2.7998751109074016E-2</v>
      </c>
      <c r="AX58" s="180">
        <v>2.1836301617148175E-2</v>
      </c>
      <c r="AY58" s="180">
        <v>2.0052090761616726E-2</v>
      </c>
      <c r="BA58" s="180">
        <v>2.6267070486057458E-2</v>
      </c>
      <c r="BB58" s="180">
        <v>2.199160265737099E-2</v>
      </c>
      <c r="BC58" s="180">
        <v>1.8807313526331484E-2</v>
      </c>
      <c r="BD58" s="180">
        <v>1.5751950274174122E-2</v>
      </c>
      <c r="BE58" s="180">
        <v>1.361247580742758E-2</v>
      </c>
      <c r="BF58" s="180">
        <v>1.8454398521011516E-2</v>
      </c>
      <c r="BG58" s="180">
        <v>4.0063660930277259E-2</v>
      </c>
      <c r="BH58" s="180">
        <v>5.688024202556366E-2</v>
      </c>
      <c r="BI58" s="180">
        <v>5.8893267378170772E-2</v>
      </c>
      <c r="BJ58" s="180">
        <v>5.8776304731070761E-2</v>
      </c>
      <c r="BK58" s="180">
        <v>5.9981792600293994E-2</v>
      </c>
      <c r="BL58" s="180">
        <v>5.8982380890132538E-2</v>
      </c>
      <c r="BM58" s="180">
        <v>5.7708120718492954E-2</v>
      </c>
      <c r="BN58" s="180">
        <v>5.544158556454272E-2</v>
      </c>
      <c r="BO58" s="180">
        <v>5.3459635747209466E-2</v>
      </c>
      <c r="BP58" s="180">
        <v>5.4968248538720663E-2</v>
      </c>
      <c r="BQ58" s="180">
        <v>5.3332618231853215E-2</v>
      </c>
      <c r="BR58" s="180">
        <v>5.266734241766273E-2</v>
      </c>
      <c r="BS58" s="180">
        <v>4.9713934412805104E-2</v>
      </c>
      <c r="BT58" s="180">
        <v>4.5257793797050395E-2</v>
      </c>
      <c r="BU58" s="180">
        <v>3.9181445459444207E-2</v>
      </c>
      <c r="BV58" s="180">
        <v>3.1294291951664131E-2</v>
      </c>
      <c r="BW58" s="180">
        <v>3.0137313397897204E-2</v>
      </c>
      <c r="BX58" s="180">
        <v>2.8375209934775245E-2</v>
      </c>
    </row>
    <row r="59" spans="1:78" x14ac:dyDescent="0.35">
      <c r="A59" s="85">
        <v>9</v>
      </c>
      <c r="C59" s="180">
        <v>5.240397337323998E-2</v>
      </c>
      <c r="D59" s="180">
        <v>4.2243195864798827E-2</v>
      </c>
      <c r="E59" s="180">
        <v>3.3350549929161574E-2</v>
      </c>
      <c r="F59" s="180">
        <v>2.7059637816445894E-2</v>
      </c>
      <c r="G59" s="180">
        <v>2.2381894596844025E-2</v>
      </c>
      <c r="H59" s="180">
        <v>1.8907436906237394E-2</v>
      </c>
      <c r="I59" s="180">
        <v>1.6341641973867557E-2</v>
      </c>
      <c r="J59" s="180">
        <v>1.6156346065722669E-2</v>
      </c>
      <c r="K59" s="180">
        <v>1.5820744451584705E-2</v>
      </c>
      <c r="L59" s="180">
        <v>1.4296265810964666E-2</v>
      </c>
      <c r="M59" s="180">
        <v>1.5598907950375406E-2</v>
      </c>
      <c r="N59" s="180">
        <v>2.3069214916210029E-2</v>
      </c>
      <c r="O59" s="180">
        <v>2.9513239051779515E-2</v>
      </c>
      <c r="P59" s="180">
        <v>3.2369939871281776E-2</v>
      </c>
      <c r="Q59" s="180">
        <v>3.4884687523503578E-2</v>
      </c>
      <c r="R59" s="180">
        <v>3.9850340814165983E-2</v>
      </c>
      <c r="S59" s="180">
        <v>5.5738244774239075E-2</v>
      </c>
      <c r="T59" s="180">
        <v>7.5074292223458877E-2</v>
      </c>
      <c r="U59" s="180">
        <v>8.9152737960769959E-2</v>
      </c>
      <c r="V59" s="180">
        <v>8.2026543001290669E-2</v>
      </c>
      <c r="W59" s="180">
        <v>7.0328983535798598E-2</v>
      </c>
      <c r="X59" s="180">
        <v>6.9500214804367869E-2</v>
      </c>
      <c r="Y59" s="180">
        <v>6.7355904525974272E-2</v>
      </c>
      <c r="Z59" s="180">
        <v>5.6575062257917058E-2</v>
      </c>
      <c r="AB59" s="180">
        <v>1.813270391401807E-2</v>
      </c>
      <c r="AC59" s="180">
        <v>8.9031600616648002E-3</v>
      </c>
      <c r="AD59" s="180">
        <v>6.1408773049237992E-3</v>
      </c>
      <c r="AE59" s="180">
        <v>5.9188148393653408E-3</v>
      </c>
      <c r="AF59" s="180">
        <v>5.6996250724522619E-3</v>
      </c>
      <c r="AG59" s="180">
        <v>1.4652193509327805E-2</v>
      </c>
      <c r="AH59" s="180">
        <v>2.2879384061116222E-2</v>
      </c>
      <c r="AI59" s="180">
        <v>3.0539614231618304E-2</v>
      </c>
      <c r="AJ59" s="180">
        <v>5.7405596408730254E-2</v>
      </c>
      <c r="AK59" s="180">
        <v>6.1839176210062179E-2</v>
      </c>
      <c r="AL59" s="180">
        <v>7.1897182625451306E-2</v>
      </c>
      <c r="AM59" s="180">
        <v>7.1371760856966809E-2</v>
      </c>
      <c r="AN59" s="180">
        <v>7.0063549389845492E-2</v>
      </c>
      <c r="AO59" s="180">
        <v>7.2141476251624953E-2</v>
      </c>
      <c r="AP59" s="180">
        <v>6.5297622466431809E-2</v>
      </c>
      <c r="AQ59" s="180">
        <v>6.5490253146782085E-2</v>
      </c>
      <c r="AR59" s="180">
        <v>5.0089157088860879E-2</v>
      </c>
      <c r="AS59" s="180">
        <v>5.702980343163757E-2</v>
      </c>
      <c r="AT59" s="180">
        <v>6.7289780407493407E-2</v>
      </c>
      <c r="AU59" s="180">
        <v>5.6399531606043316E-2</v>
      </c>
      <c r="AV59" s="180">
        <v>4.3101382739714166E-2</v>
      </c>
      <c r="AW59" s="180">
        <v>3.1631688862904531E-2</v>
      </c>
      <c r="AX59" s="180">
        <v>2.445169793354483E-2</v>
      </c>
      <c r="AY59" s="180">
        <v>2.1633967579419589E-2</v>
      </c>
      <c r="BA59" s="180">
        <v>2.7253738519020656E-2</v>
      </c>
      <c r="BB59" s="180">
        <v>2.2965815796193646E-2</v>
      </c>
      <c r="BC59" s="180">
        <v>1.9755725921323439E-2</v>
      </c>
      <c r="BD59" s="180">
        <v>1.6624994237086885E-2</v>
      </c>
      <c r="BE59" s="180">
        <v>1.4529349393914653E-2</v>
      </c>
      <c r="BF59" s="180">
        <v>1.9326749704974215E-2</v>
      </c>
      <c r="BG59" s="180">
        <v>4.0476682241457153E-2</v>
      </c>
      <c r="BH59" s="180">
        <v>5.6555272547632547E-2</v>
      </c>
      <c r="BI59" s="180">
        <v>5.8366091540779742E-2</v>
      </c>
      <c r="BJ59" s="180">
        <v>5.8275358573334747E-2</v>
      </c>
      <c r="BK59" s="180">
        <v>5.9352420186989989E-2</v>
      </c>
      <c r="BL59" s="180">
        <v>5.8210652244352325E-2</v>
      </c>
      <c r="BM59" s="180">
        <v>5.6901417644273478E-2</v>
      </c>
      <c r="BN59" s="180">
        <v>5.4338363310010539E-2</v>
      </c>
      <c r="BO59" s="180">
        <v>5.1991477807699825E-2</v>
      </c>
      <c r="BP59" s="180">
        <v>5.3747235180790713E-2</v>
      </c>
      <c r="BQ59" s="180">
        <v>5.2138697205709114E-2</v>
      </c>
      <c r="BR59" s="180">
        <v>5.1871738401029696E-2</v>
      </c>
      <c r="BS59" s="180">
        <v>4.901938413733134E-2</v>
      </c>
      <c r="BT59" s="180">
        <v>4.4848580077694475E-2</v>
      </c>
      <c r="BU59" s="180">
        <v>3.9429078222502155E-2</v>
      </c>
      <c r="BV59" s="180">
        <v>3.2023354647911582E-2</v>
      </c>
      <c r="BW59" s="180">
        <v>3.1554534877842898E-2</v>
      </c>
      <c r="BX59" s="180">
        <v>3.0443287580144064E-2</v>
      </c>
    </row>
    <row r="60" spans="1:78" x14ac:dyDescent="0.35">
      <c r="A60" s="85">
        <v>10</v>
      </c>
      <c r="C60" s="180">
        <v>4.90059412566652E-2</v>
      </c>
      <c r="D60" s="180">
        <v>3.998342975767958E-2</v>
      </c>
      <c r="E60" s="180">
        <v>3.2712241328297267E-2</v>
      </c>
      <c r="F60" s="180">
        <v>2.734853172408731E-2</v>
      </c>
      <c r="G60" s="180">
        <v>2.354031610750254E-2</v>
      </c>
      <c r="H60" s="180">
        <v>2.0910615268528561E-2</v>
      </c>
      <c r="I60" s="180">
        <v>1.8156277957807755E-2</v>
      </c>
      <c r="J60" s="180">
        <v>1.5980788753259784E-2</v>
      </c>
      <c r="K60" s="180">
        <v>1.5171480243873686E-2</v>
      </c>
      <c r="L60" s="180">
        <v>1.5745482103275719E-2</v>
      </c>
      <c r="M60" s="180">
        <v>1.6595900586571379E-2</v>
      </c>
      <c r="N60" s="180">
        <v>2.4580718210440018E-2</v>
      </c>
      <c r="O60" s="180">
        <v>3.0193846318881983E-2</v>
      </c>
      <c r="P60" s="180">
        <v>3.1945852748727743E-2</v>
      </c>
      <c r="Q60" s="180">
        <v>3.5443004726524105E-2</v>
      </c>
      <c r="R60" s="180">
        <v>4.1014258055917484E-2</v>
      </c>
      <c r="S60" s="180">
        <v>5.1922232857170764E-2</v>
      </c>
      <c r="T60" s="180">
        <v>7.0263386292356567E-2</v>
      </c>
      <c r="U60" s="180">
        <v>8.9267080312876751E-2</v>
      </c>
      <c r="V60" s="180">
        <v>8.5050736230519772E-2</v>
      </c>
      <c r="W60" s="180">
        <v>7.359805530705131E-2</v>
      </c>
      <c r="X60" s="180">
        <v>7.0580271347832207E-2</v>
      </c>
      <c r="Y60" s="180">
        <v>6.4850656132241918E-2</v>
      </c>
      <c r="Z60" s="180">
        <v>5.6138896371910794E-2</v>
      </c>
      <c r="AB60" s="180">
        <v>2.4713151193249946E-2</v>
      </c>
      <c r="AC60" s="180">
        <v>9.2847462620033756E-3</v>
      </c>
      <c r="AD60" s="180">
        <v>5.0741349319483511E-3</v>
      </c>
      <c r="AE60" s="180">
        <v>4.0224562447843237E-3</v>
      </c>
      <c r="AF60" s="180">
        <v>5.4369402353958603E-3</v>
      </c>
      <c r="AG60" s="180">
        <v>1.5023171838544869E-2</v>
      </c>
      <c r="AH60" s="180">
        <v>2.1086412442952618E-2</v>
      </c>
      <c r="AI60" s="180">
        <v>4.0818120420986155E-2</v>
      </c>
      <c r="AJ60" s="180">
        <v>5.8394407579607739E-2</v>
      </c>
      <c r="AK60" s="180">
        <v>6.7728558497100605E-2</v>
      </c>
      <c r="AL60" s="180">
        <v>6.9452097648466993E-2</v>
      </c>
      <c r="AM60" s="180">
        <v>6.6946419666323184E-2</v>
      </c>
      <c r="AN60" s="180">
        <v>6.1839941487648813E-2</v>
      </c>
      <c r="AO60" s="180">
        <v>5.5837689282944282E-2</v>
      </c>
      <c r="AP60" s="180">
        <v>6.4278625032839251E-2</v>
      </c>
      <c r="AQ60" s="180">
        <v>5.8173237149082756E-2</v>
      </c>
      <c r="AR60" s="180">
        <v>6.0226828700625935E-2</v>
      </c>
      <c r="AS60" s="180">
        <v>6.7863186318561072E-2</v>
      </c>
      <c r="AT60" s="180">
        <v>6.5844945552333167E-2</v>
      </c>
      <c r="AU60" s="180">
        <v>6.8585827541375724E-2</v>
      </c>
      <c r="AV60" s="180">
        <v>4.5494779150808753E-2</v>
      </c>
      <c r="AW60" s="180">
        <v>3.0598668300960884E-2</v>
      </c>
      <c r="AX60" s="180">
        <v>1.9200709369800405E-2</v>
      </c>
      <c r="AY60" s="180">
        <v>1.4074945151655015E-2</v>
      </c>
      <c r="BA60" s="180">
        <v>2.2208580767921308E-2</v>
      </c>
      <c r="BB60" s="180">
        <v>2.0761109154936355E-2</v>
      </c>
      <c r="BC60" s="180">
        <v>1.8998010501352549E-2</v>
      </c>
      <c r="BD60" s="180">
        <v>1.5532683606614625E-2</v>
      </c>
      <c r="BE60" s="180">
        <v>1.3794187933928859E-2</v>
      </c>
      <c r="BF60" s="180">
        <v>1.4750814952583581E-2</v>
      </c>
      <c r="BG60" s="180">
        <v>4.060319086504538E-2</v>
      </c>
      <c r="BH60" s="180">
        <v>6.029957614707257E-2</v>
      </c>
      <c r="BI60" s="180">
        <v>7.1345857532469456E-2</v>
      </c>
      <c r="BJ60" s="180">
        <v>7.3267279239201261E-2</v>
      </c>
      <c r="BK60" s="180">
        <v>7.2695711435044663E-2</v>
      </c>
      <c r="BL60" s="180">
        <v>7.0295410958508622E-2</v>
      </c>
      <c r="BM60" s="180">
        <v>6.7669021896740067E-2</v>
      </c>
      <c r="BN60" s="180">
        <v>6.5927960638969843E-2</v>
      </c>
      <c r="BO60" s="180">
        <v>6.5190556881214168E-2</v>
      </c>
      <c r="BP60" s="180">
        <v>6.1399164169299851E-2</v>
      </c>
      <c r="BQ60" s="180">
        <v>5.2696207058168694E-2</v>
      </c>
      <c r="BR60" s="180">
        <v>4.1015283062632649E-2</v>
      </c>
      <c r="BS60" s="180">
        <v>3.3668932742395762E-2</v>
      </c>
      <c r="BT60" s="180">
        <v>2.9251720428615215E-2</v>
      </c>
      <c r="BU60" s="180">
        <v>2.3739709423213368E-2</v>
      </c>
      <c r="BV60" s="180">
        <v>2.3194391596089742E-2</v>
      </c>
      <c r="BW60" s="180">
        <v>2.0574990889899464E-2</v>
      </c>
      <c r="BX60" s="180">
        <v>2.1119648118081806E-2</v>
      </c>
    </row>
    <row r="61" spans="1:78" x14ac:dyDescent="0.35">
      <c r="A61" s="85">
        <v>11</v>
      </c>
      <c r="C61" s="180">
        <v>4.8613780469732262E-2</v>
      </c>
      <c r="D61" s="180">
        <v>3.9755107116346756E-2</v>
      </c>
      <c r="E61" s="180">
        <v>3.2568598782272563E-2</v>
      </c>
      <c r="F61" s="180">
        <v>2.7375208621372684E-2</v>
      </c>
      <c r="G61" s="180">
        <v>2.3564582853252559E-2</v>
      </c>
      <c r="H61" s="180">
        <v>2.0942646740045711E-2</v>
      </c>
      <c r="I61" s="180">
        <v>1.8204563671631195E-2</v>
      </c>
      <c r="J61" s="180">
        <v>1.5866874396961439E-2</v>
      </c>
      <c r="K61" s="180">
        <v>1.5202986518660562E-2</v>
      </c>
      <c r="L61" s="180">
        <v>1.5958536354455845E-2</v>
      </c>
      <c r="M61" s="180">
        <v>1.6651938763456296E-2</v>
      </c>
      <c r="N61" s="180">
        <v>2.4207512898034935E-2</v>
      </c>
      <c r="O61" s="180">
        <v>2.9875241267210827E-2</v>
      </c>
      <c r="P61" s="180">
        <v>3.1727257382137025E-2</v>
      </c>
      <c r="Q61" s="180">
        <v>3.504300360586806E-2</v>
      </c>
      <c r="R61" s="180">
        <v>4.0684876986539463E-2</v>
      </c>
      <c r="S61" s="180">
        <v>5.1799945869869683E-2</v>
      </c>
      <c r="T61" s="180">
        <v>7.0779223479992909E-2</v>
      </c>
      <c r="U61" s="180">
        <v>8.9901887868951702E-2</v>
      </c>
      <c r="V61" s="180">
        <v>8.5513805107048146E-2</v>
      </c>
      <c r="W61" s="180">
        <v>7.4043453870783996E-2</v>
      </c>
      <c r="X61" s="180">
        <v>7.0700955355455702E-2</v>
      </c>
      <c r="Y61" s="180">
        <v>6.4976529106974726E-2</v>
      </c>
      <c r="Z61" s="180">
        <v>5.6041482912944883E-2</v>
      </c>
      <c r="AB61" s="180">
        <v>2.2126887168129737E-2</v>
      </c>
      <c r="AC61" s="180">
        <v>8.4851972181749641E-3</v>
      </c>
      <c r="AD61" s="180">
        <v>4.8863300986448123E-3</v>
      </c>
      <c r="AE61" s="180">
        <v>4.0048738219789987E-3</v>
      </c>
      <c r="AF61" s="180">
        <v>5.8991480355829618E-3</v>
      </c>
      <c r="AG61" s="180">
        <v>1.6011376259379782E-2</v>
      </c>
      <c r="AH61" s="180">
        <v>2.1525505089139006E-2</v>
      </c>
      <c r="AI61" s="180">
        <v>4.1650315268471627E-2</v>
      </c>
      <c r="AJ61" s="180">
        <v>5.7945653889095027E-2</v>
      </c>
      <c r="AK61" s="180">
        <v>6.71877174657836E-2</v>
      </c>
      <c r="AL61" s="180">
        <v>6.9230646557272485E-2</v>
      </c>
      <c r="AM61" s="180">
        <v>6.6467722729463982E-2</v>
      </c>
      <c r="AN61" s="180">
        <v>6.0965716992342392E-2</v>
      </c>
      <c r="AO61" s="180">
        <v>5.5934891382582036E-2</v>
      </c>
      <c r="AP61" s="180">
        <v>6.4572264736356855E-2</v>
      </c>
      <c r="AQ61" s="180">
        <v>5.8575235466691605E-2</v>
      </c>
      <c r="AR61" s="180">
        <v>6.0850441660060199E-2</v>
      </c>
      <c r="AS61" s="180">
        <v>6.8600459183981694E-2</v>
      </c>
      <c r="AT61" s="180">
        <v>6.5317376306674738E-2</v>
      </c>
      <c r="AU61" s="180">
        <v>6.957822857615055E-2</v>
      </c>
      <c r="AV61" s="180">
        <v>4.6310283288506643E-2</v>
      </c>
      <c r="AW61" s="180">
        <v>2.9989874435867619E-2</v>
      </c>
      <c r="AX61" s="180">
        <v>1.9368100628671499E-2</v>
      </c>
      <c r="AY61" s="180">
        <v>1.4515753740997112E-2</v>
      </c>
      <c r="BA61" s="180">
        <v>2.1768776724259541E-2</v>
      </c>
      <c r="BB61" s="180">
        <v>2.0285723634939374E-2</v>
      </c>
      <c r="BC61" s="180">
        <v>1.8480450236073368E-2</v>
      </c>
      <c r="BD61" s="180">
        <v>1.504043237420755E-2</v>
      </c>
      <c r="BE61" s="180">
        <v>1.3449627309155209E-2</v>
      </c>
      <c r="BF61" s="180">
        <v>1.4500333541933174E-2</v>
      </c>
      <c r="BG61" s="180">
        <v>4.091097383539713E-2</v>
      </c>
      <c r="BH61" s="180">
        <v>6.054053535232292E-2</v>
      </c>
      <c r="BI61" s="180">
        <v>7.1574657831935756E-2</v>
      </c>
      <c r="BJ61" s="180">
        <v>7.3353227413542596E-2</v>
      </c>
      <c r="BK61" s="180">
        <v>7.2849769871080564E-2</v>
      </c>
      <c r="BL61" s="180">
        <v>7.0618494060198392E-2</v>
      </c>
      <c r="BM61" s="180">
        <v>6.7960822695492792E-2</v>
      </c>
      <c r="BN61" s="180">
        <v>6.6119123621273021E-2</v>
      </c>
      <c r="BO61" s="180">
        <v>6.5092696127857286E-2</v>
      </c>
      <c r="BP61" s="180">
        <v>6.1286259174566787E-2</v>
      </c>
      <c r="BQ61" s="180">
        <v>5.2363085045726676E-2</v>
      </c>
      <c r="BR61" s="180">
        <v>4.0942539667856687E-2</v>
      </c>
      <c r="BS61" s="180">
        <v>3.4047865731832279E-2</v>
      </c>
      <c r="BT61" s="180">
        <v>2.9264803821308475E-2</v>
      </c>
      <c r="BU61" s="180">
        <v>2.370819684457098E-2</v>
      </c>
      <c r="BV61" s="180">
        <v>2.331846260902122E-2</v>
      </c>
      <c r="BW61" s="180">
        <v>2.0861695420847547E-2</v>
      </c>
      <c r="BX61" s="180">
        <v>2.1661447054600678E-2</v>
      </c>
    </row>
    <row r="62" spans="1:78" x14ac:dyDescent="0.35">
      <c r="A62" s="85">
        <v>12</v>
      </c>
      <c r="C62" s="180">
        <v>4.8549754859881424E-2</v>
      </c>
      <c r="D62" s="180">
        <v>3.9722445175905716E-2</v>
      </c>
      <c r="E62" s="180">
        <v>3.2544889839072721E-2</v>
      </c>
      <c r="F62" s="180">
        <v>2.7370321288760012E-2</v>
      </c>
      <c r="G62" s="180">
        <v>2.3598488156399883E-2</v>
      </c>
      <c r="H62" s="180">
        <v>2.0971260580680429E-2</v>
      </c>
      <c r="I62" s="180">
        <v>1.8287054927158646E-2</v>
      </c>
      <c r="J62" s="180">
        <v>1.6070271162964368E-2</v>
      </c>
      <c r="K62" s="180">
        <v>1.5500837314520618E-2</v>
      </c>
      <c r="L62" s="180">
        <v>1.5891735239066264E-2</v>
      </c>
      <c r="M62" s="180">
        <v>1.655151739369291E-2</v>
      </c>
      <c r="N62" s="180">
        <v>2.4795040888900187E-2</v>
      </c>
      <c r="O62" s="180">
        <v>3.0110822993830968E-2</v>
      </c>
      <c r="P62" s="180">
        <v>3.2101207598216268E-2</v>
      </c>
      <c r="Q62" s="180">
        <v>3.603235950818072E-2</v>
      </c>
      <c r="R62" s="180">
        <v>4.1526387692349433E-2</v>
      </c>
      <c r="S62" s="180">
        <v>5.2132581724419383E-2</v>
      </c>
      <c r="T62" s="180">
        <v>7.0750313741763479E-2</v>
      </c>
      <c r="U62" s="180">
        <v>8.8220288677463912E-2</v>
      </c>
      <c r="V62" s="180">
        <v>8.4506867769824648E-2</v>
      </c>
      <c r="W62" s="180">
        <v>7.3315829357492798E-2</v>
      </c>
      <c r="X62" s="180">
        <v>7.0238233697172942E-2</v>
      </c>
      <c r="Y62" s="180">
        <v>6.5020497069676567E-2</v>
      </c>
      <c r="Z62" s="180">
        <v>5.6190993342605869E-2</v>
      </c>
      <c r="AB62" s="180">
        <v>2.3263651518746625E-2</v>
      </c>
      <c r="AC62" s="180">
        <v>8.9880454149331747E-3</v>
      </c>
      <c r="AD62" s="180">
        <v>5.1089079220667799E-3</v>
      </c>
      <c r="AE62" s="180">
        <v>4.1283118042360189E-3</v>
      </c>
      <c r="AF62" s="180">
        <v>5.4896470278438482E-3</v>
      </c>
      <c r="AG62" s="180">
        <v>1.4512938551346466E-2</v>
      </c>
      <c r="AH62" s="180">
        <v>2.0917592987054184E-2</v>
      </c>
      <c r="AI62" s="180">
        <v>4.0111829196905591E-2</v>
      </c>
      <c r="AJ62" s="180">
        <v>5.735596042257473E-2</v>
      </c>
      <c r="AK62" s="180">
        <v>6.7293299498046286E-2</v>
      </c>
      <c r="AL62" s="180">
        <v>6.9368792679874933E-2</v>
      </c>
      <c r="AM62" s="180">
        <v>6.6732782792309098E-2</v>
      </c>
      <c r="AN62" s="180">
        <v>6.2117593750343675E-2</v>
      </c>
      <c r="AO62" s="180">
        <v>5.5823527763152053E-2</v>
      </c>
      <c r="AP62" s="180">
        <v>6.4575790376626585E-2</v>
      </c>
      <c r="AQ62" s="180">
        <v>5.8188527423772819E-2</v>
      </c>
      <c r="AR62" s="180">
        <v>6.0820061735547444E-2</v>
      </c>
      <c r="AS62" s="180">
        <v>6.6894269102037093E-2</v>
      </c>
      <c r="AT62" s="180">
        <v>6.4403756737901038E-2</v>
      </c>
      <c r="AU62" s="180">
        <v>6.9006420477900704E-2</v>
      </c>
      <c r="AV62" s="180">
        <v>4.7152060804459599E-2</v>
      </c>
      <c r="AW62" s="180">
        <v>3.1563348605858937E-2</v>
      </c>
      <c r="AX62" s="180">
        <v>2.1110271751370837E-2</v>
      </c>
      <c r="AY62" s="180">
        <v>1.5072611655091451E-2</v>
      </c>
      <c r="BA62" s="180">
        <v>2.2348458645733444E-2</v>
      </c>
      <c r="BB62" s="180">
        <v>2.0850155556778768E-2</v>
      </c>
      <c r="BC62" s="180">
        <v>1.8885024165443586E-2</v>
      </c>
      <c r="BD62" s="180">
        <v>1.5464549335552667E-2</v>
      </c>
      <c r="BE62" s="180">
        <v>1.3778782177615339E-2</v>
      </c>
      <c r="BF62" s="180">
        <v>1.4630519204930213E-2</v>
      </c>
      <c r="BG62" s="180">
        <v>4.1163283068719643E-2</v>
      </c>
      <c r="BH62" s="180">
        <v>6.0869398003544586E-2</v>
      </c>
      <c r="BI62" s="180">
        <v>7.1686084300459488E-2</v>
      </c>
      <c r="BJ62" s="180">
        <v>7.3500417504279283E-2</v>
      </c>
      <c r="BK62" s="180">
        <v>7.2909206828608256E-2</v>
      </c>
      <c r="BL62" s="180">
        <v>7.0115416725933952E-2</v>
      </c>
      <c r="BM62" s="180">
        <v>6.7134949754188836E-2</v>
      </c>
      <c r="BN62" s="180">
        <v>6.5150916641297352E-2</v>
      </c>
      <c r="BO62" s="180">
        <v>6.4523384065588857E-2</v>
      </c>
      <c r="BP62" s="180">
        <v>6.095946442438694E-2</v>
      </c>
      <c r="BQ62" s="180">
        <v>5.2113484129145092E-2</v>
      </c>
      <c r="BR62" s="180">
        <v>4.0636183759401812E-2</v>
      </c>
      <c r="BS62" s="180">
        <v>3.348187445387632E-2</v>
      </c>
      <c r="BT62" s="180">
        <v>2.9231647222326372E-2</v>
      </c>
      <c r="BU62" s="180">
        <v>2.3735444971658796E-2</v>
      </c>
      <c r="BV62" s="180">
        <v>2.3660656975606854E-2</v>
      </c>
      <c r="BW62" s="180">
        <v>2.1100466885869001E-2</v>
      </c>
      <c r="BX62" s="180">
        <v>2.2070231199054859E-2</v>
      </c>
    </row>
  </sheetData>
  <mergeCells count="3">
    <mergeCell ref="C1:Z1"/>
    <mergeCell ref="AB1:AY1"/>
    <mergeCell ref="BA1:BX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C40B7-9D39-4BFE-BD59-523CBE8E4C30}">
  <sheetPr>
    <pageSetUpPr fitToPage="1"/>
  </sheetPr>
  <dimension ref="A1:AA78"/>
  <sheetViews>
    <sheetView zoomScaleNormal="100" workbookViewId="0">
      <selection activeCell="F20" sqref="F20:I20"/>
    </sheetView>
  </sheetViews>
  <sheetFormatPr defaultRowHeight="14.5" x14ac:dyDescent="0.35"/>
  <cols>
    <col min="1" max="1" width="41.7265625" customWidth="1"/>
    <col min="2" max="2" width="14.54296875" customWidth="1"/>
    <col min="3" max="12" width="13" customWidth="1"/>
    <col min="13" max="13" width="9.81640625" customWidth="1"/>
    <col min="14" max="18" width="13" customWidth="1"/>
    <col min="19" max="19" width="24.26953125" customWidth="1"/>
    <col min="20" max="20" width="13.54296875" customWidth="1"/>
    <col min="21" max="21" width="14.81640625" customWidth="1"/>
    <col min="22" max="23" width="13.54296875" customWidth="1"/>
  </cols>
  <sheetData>
    <row r="1" spans="1:4" ht="23.5" x14ac:dyDescent="0.55000000000000004">
      <c r="A1" s="237" t="s">
        <v>189</v>
      </c>
    </row>
    <row r="2" spans="1:4" x14ac:dyDescent="0.35">
      <c r="A2" s="2"/>
    </row>
    <row r="3" spans="1:4" ht="18.5" x14ac:dyDescent="0.45">
      <c r="A3" s="238" t="s">
        <v>190</v>
      </c>
    </row>
    <row r="4" spans="1:4" ht="17.5" x14ac:dyDescent="0.45">
      <c r="A4" s="239" t="s">
        <v>191</v>
      </c>
    </row>
    <row r="5" spans="1:4" x14ac:dyDescent="0.35">
      <c r="A5" s="2"/>
    </row>
    <row r="6" spans="1:4" x14ac:dyDescent="0.35">
      <c r="A6" s="42" t="s">
        <v>192</v>
      </c>
    </row>
    <row r="7" spans="1:4" ht="16.5" x14ac:dyDescent="0.35">
      <c r="A7" s="59" t="s">
        <v>193</v>
      </c>
      <c r="B7" s="240">
        <v>12933.17</v>
      </c>
      <c r="C7" s="241">
        <v>1</v>
      </c>
    </row>
    <row r="8" spans="1:4" ht="16.5" x14ac:dyDescent="0.35">
      <c r="A8" s="59" t="s">
        <v>194</v>
      </c>
      <c r="B8">
        <v>24.3</v>
      </c>
      <c r="C8" s="241">
        <v>2</v>
      </c>
      <c r="D8" s="242"/>
    </row>
    <row r="9" spans="1:4" ht="17.5" x14ac:dyDescent="0.45">
      <c r="A9" s="59" t="s">
        <v>195</v>
      </c>
      <c r="B9" s="243">
        <v>8887</v>
      </c>
      <c r="C9" s="241">
        <v>3</v>
      </c>
    </row>
    <row r="10" spans="1:4" ht="17.5" x14ac:dyDescent="0.45">
      <c r="A10" s="59" t="s">
        <v>196</v>
      </c>
      <c r="B10" s="243">
        <f>B9/B8</f>
        <v>365.72016460905348</v>
      </c>
      <c r="C10" s="241"/>
    </row>
    <row r="11" spans="1:4" ht="17.5" x14ac:dyDescent="0.45">
      <c r="A11" s="59" t="s">
        <v>197</v>
      </c>
      <c r="B11" s="84">
        <f>B10*B7/1000000/0.907184</f>
        <v>5.2138497386603726</v>
      </c>
      <c r="C11" s="241"/>
    </row>
    <row r="12" spans="1:4" ht="16.5" x14ac:dyDescent="0.35">
      <c r="A12" s="22"/>
      <c r="B12" s="84"/>
      <c r="C12" s="241"/>
    </row>
    <row r="13" spans="1:4" ht="16.5" x14ac:dyDescent="0.35">
      <c r="A13" s="47" t="s">
        <v>198</v>
      </c>
      <c r="C13" s="241"/>
    </row>
    <row r="14" spans="1:4" ht="16.5" x14ac:dyDescent="0.35">
      <c r="A14" s="22" t="s">
        <v>199</v>
      </c>
      <c r="B14" s="240">
        <v>0.32</v>
      </c>
      <c r="C14" s="241">
        <v>4</v>
      </c>
    </row>
    <row r="15" spans="1:4" x14ac:dyDescent="0.35">
      <c r="A15" s="22" t="s">
        <v>200</v>
      </c>
      <c r="B15" s="243">
        <f>B14*B7</f>
        <v>4138.6144000000004</v>
      </c>
    </row>
    <row r="16" spans="1:4" x14ac:dyDescent="0.35">
      <c r="A16" s="22"/>
      <c r="B16" s="243"/>
    </row>
    <row r="17" spans="1:14" ht="16.5" x14ac:dyDescent="0.45">
      <c r="A17" s="47" t="s">
        <v>201</v>
      </c>
      <c r="B17" s="243"/>
    </row>
    <row r="18" spans="1:14" s="244" customFormat="1" x14ac:dyDescent="0.35">
      <c r="B18" s="244">
        <v>2020</v>
      </c>
      <c r="C18" s="244">
        <f>B18+1</f>
        <v>2021</v>
      </c>
      <c r="D18" s="244">
        <f t="shared" ref="D18:L18" si="0">C18+1</f>
        <v>2022</v>
      </c>
      <c r="E18" s="244">
        <f t="shared" si="0"/>
        <v>2023</v>
      </c>
      <c r="F18" s="244">
        <f t="shared" si="0"/>
        <v>2024</v>
      </c>
      <c r="G18" s="244">
        <f t="shared" si="0"/>
        <v>2025</v>
      </c>
      <c r="H18" s="244">
        <f t="shared" si="0"/>
        <v>2026</v>
      </c>
      <c r="I18" s="244">
        <f t="shared" si="0"/>
        <v>2027</v>
      </c>
      <c r="J18" s="244">
        <f t="shared" si="0"/>
        <v>2028</v>
      </c>
      <c r="K18" s="244">
        <f>J18+1</f>
        <v>2029</v>
      </c>
      <c r="L18" s="244">
        <f t="shared" si="0"/>
        <v>2030</v>
      </c>
    </row>
    <row r="19" spans="1:14" ht="17.5" x14ac:dyDescent="0.45">
      <c r="A19" s="22" t="s">
        <v>202</v>
      </c>
      <c r="B19" s="245">
        <v>778.84153451094573</v>
      </c>
      <c r="C19" s="245">
        <v>713.96910073100025</v>
      </c>
      <c r="D19" s="245">
        <v>710.56133502785883</v>
      </c>
      <c r="E19" s="245">
        <v>758.13554065920437</v>
      </c>
      <c r="F19" s="245">
        <v>611.88900227368629</v>
      </c>
      <c r="G19" s="245">
        <v>522.34103956379192</v>
      </c>
      <c r="H19" s="245">
        <v>503.04344269068929</v>
      </c>
      <c r="I19" s="245">
        <v>407.90640363396869</v>
      </c>
      <c r="J19" s="245">
        <v>251.21904703344794</v>
      </c>
      <c r="K19" s="245">
        <v>227.41652428319216</v>
      </c>
      <c r="L19" s="245">
        <v>220.28328125264497</v>
      </c>
      <c r="M19" s="241">
        <v>5</v>
      </c>
      <c r="N19" s="246"/>
    </row>
    <row r="20" spans="1:14" s="22" customFormat="1" ht="16.5" x14ac:dyDescent="0.45">
      <c r="A20" s="22" t="s">
        <v>197</v>
      </c>
      <c r="B20" s="247">
        <f t="shared" ref="B20:L20" si="1">$B15/1000*B19/2000</f>
        <v>1.6116623950225486</v>
      </c>
      <c r="C20" s="247">
        <f t="shared" si="1"/>
        <v>1.4774214007201842</v>
      </c>
      <c r="D20" s="247">
        <f t="shared" si="1"/>
        <v>1.4703696866147606</v>
      </c>
      <c r="E20" s="247">
        <f t="shared" si="1"/>
        <v>1.5688153328619847</v>
      </c>
      <c r="F20" s="247">
        <f t="shared" si="1"/>
        <v>1.2661863180057555</v>
      </c>
      <c r="G20" s="247">
        <f t="shared" si="1"/>
        <v>1.0808840740248398</v>
      </c>
      <c r="H20" s="247">
        <f t="shared" si="1"/>
        <v>1.0409514178726309</v>
      </c>
      <c r="I20" s="247">
        <f t="shared" si="1"/>
        <v>0.8440836579658777</v>
      </c>
      <c r="J20" s="247">
        <f t="shared" si="1"/>
        <v>0.5198493828034525</v>
      </c>
      <c r="K20" s="247">
        <f t="shared" si="1"/>
        <v>0.47059465109818444</v>
      </c>
      <c r="L20" s="247">
        <f t="shared" si="1"/>
        <v>0.45583377993572333</v>
      </c>
    </row>
    <row r="21" spans="1:14" ht="16.5" x14ac:dyDescent="0.45">
      <c r="A21" s="248" t="s">
        <v>203</v>
      </c>
      <c r="B21" s="249">
        <f t="shared" ref="B21:L21" si="2">$B11-B20</f>
        <v>3.6021873436378238</v>
      </c>
      <c r="C21" s="249">
        <f t="shared" si="2"/>
        <v>3.7364283379401884</v>
      </c>
      <c r="D21" s="249">
        <f t="shared" si="2"/>
        <v>3.7434800520456122</v>
      </c>
      <c r="E21" s="249">
        <f t="shared" si="2"/>
        <v>3.6450344057983877</v>
      </c>
      <c r="F21" s="249">
        <f t="shared" si="2"/>
        <v>3.9476634206546173</v>
      </c>
      <c r="G21" s="249">
        <f t="shared" si="2"/>
        <v>4.1329656646355328</v>
      </c>
      <c r="H21" s="249">
        <f t="shared" si="2"/>
        <v>4.1728983207877413</v>
      </c>
      <c r="I21" s="249">
        <f t="shared" si="2"/>
        <v>4.3697660806944949</v>
      </c>
      <c r="J21" s="249">
        <f t="shared" si="2"/>
        <v>4.6940003558569199</v>
      </c>
      <c r="K21" s="249">
        <f t="shared" si="2"/>
        <v>4.7432550875621882</v>
      </c>
      <c r="L21" s="249">
        <f t="shared" si="2"/>
        <v>4.7580159587246493</v>
      </c>
    </row>
    <row r="22" spans="1:14" s="91" customFormat="1" x14ac:dyDescent="0.35">
      <c r="A22" s="250"/>
      <c r="B22" s="251"/>
      <c r="C22" s="251"/>
      <c r="D22" s="251"/>
      <c r="E22" s="251"/>
      <c r="F22" s="251"/>
      <c r="G22" s="251"/>
      <c r="H22" s="251"/>
      <c r="I22" s="251"/>
      <c r="J22" s="251"/>
      <c r="K22" s="251"/>
      <c r="L22" s="251"/>
    </row>
    <row r="23" spans="1:14" s="91" customFormat="1" ht="16.5" x14ac:dyDescent="0.45">
      <c r="A23" s="47" t="s">
        <v>204</v>
      </c>
      <c r="B23" s="251"/>
      <c r="C23" s="251"/>
      <c r="D23" s="251"/>
      <c r="E23" s="251"/>
      <c r="F23" s="251"/>
      <c r="G23" s="251"/>
      <c r="H23" s="251"/>
      <c r="I23" s="251"/>
      <c r="J23" s="251"/>
      <c r="K23" s="251"/>
      <c r="L23" s="251"/>
    </row>
    <row r="24" spans="1:14" s="91" customFormat="1" ht="17.5" x14ac:dyDescent="0.45">
      <c r="A24" s="22" t="s">
        <v>202</v>
      </c>
      <c r="B24" s="252">
        <v>1822</v>
      </c>
      <c r="C24" s="253" t="s">
        <v>205</v>
      </c>
      <c r="D24" s="254"/>
      <c r="E24" s="251"/>
      <c r="F24" s="251"/>
      <c r="G24" s="251"/>
      <c r="H24" s="251"/>
      <c r="I24" s="251"/>
      <c r="J24" s="251"/>
      <c r="K24" s="251"/>
      <c r="L24" s="251"/>
    </row>
    <row r="25" spans="1:14" s="91" customFormat="1" ht="17.5" x14ac:dyDescent="0.45">
      <c r="A25" s="22" t="s">
        <v>197</v>
      </c>
      <c r="B25" s="247">
        <f>$B15/1000*B24/2000</f>
        <v>3.7702777184000005</v>
      </c>
      <c r="C25" s="253" t="s">
        <v>206</v>
      </c>
      <c r="D25" s="254"/>
      <c r="E25" s="251"/>
      <c r="F25" s="251"/>
      <c r="G25" s="251"/>
      <c r="H25" s="251"/>
      <c r="I25" s="251"/>
      <c r="J25" s="251"/>
      <c r="K25" s="251"/>
      <c r="L25" s="251"/>
    </row>
    <row r="26" spans="1:14" ht="16.5" x14ac:dyDescent="0.45">
      <c r="A26" s="248" t="s">
        <v>203</v>
      </c>
      <c r="B26" s="249">
        <f>B11-B25</f>
        <v>1.4435720202603721</v>
      </c>
      <c r="C26" s="255"/>
      <c r="E26" s="255"/>
      <c r="F26" s="255"/>
      <c r="G26" s="255"/>
      <c r="H26" s="255"/>
      <c r="I26" s="255"/>
      <c r="J26" s="255"/>
      <c r="K26" s="255"/>
      <c r="L26" s="255"/>
    </row>
    <row r="27" spans="1:14" x14ac:dyDescent="0.35">
      <c r="A27" s="250"/>
      <c r="B27" s="251"/>
      <c r="C27" s="252"/>
      <c r="D27" s="256"/>
      <c r="E27" s="252"/>
      <c r="F27" s="252"/>
      <c r="G27" s="252"/>
      <c r="H27" s="252"/>
      <c r="I27" s="252"/>
      <c r="J27" s="252"/>
      <c r="K27" s="252"/>
      <c r="L27" s="252"/>
    </row>
    <row r="28" spans="1:14" x14ac:dyDescent="0.35">
      <c r="A28" s="47" t="s">
        <v>207</v>
      </c>
      <c r="B28" s="251"/>
      <c r="C28" s="252"/>
      <c r="D28" s="252"/>
      <c r="E28" s="252"/>
      <c r="F28" s="252"/>
      <c r="G28" s="252"/>
      <c r="H28" s="252"/>
      <c r="I28" s="252"/>
      <c r="J28" s="252"/>
      <c r="K28" s="252"/>
      <c r="L28" s="252"/>
    </row>
    <row r="29" spans="1:14" ht="16.5" x14ac:dyDescent="0.45">
      <c r="A29" s="22" t="s">
        <v>202</v>
      </c>
      <c r="B29" s="252">
        <v>0</v>
      </c>
      <c r="C29" s="252"/>
      <c r="D29" s="252"/>
      <c r="E29" s="252"/>
      <c r="F29" s="252"/>
      <c r="G29" s="252"/>
      <c r="H29" s="252"/>
      <c r="I29" s="252"/>
      <c r="J29" s="252"/>
      <c r="K29" s="252"/>
      <c r="L29" s="252"/>
    </row>
    <row r="30" spans="1:14" ht="16.5" x14ac:dyDescent="0.45">
      <c r="A30" s="22" t="s">
        <v>197</v>
      </c>
      <c r="B30" s="247">
        <f>$B15/1000*B29/2000</f>
        <v>0</v>
      </c>
      <c r="C30" s="252"/>
      <c r="D30" s="252"/>
      <c r="E30" s="252"/>
      <c r="F30" s="252"/>
      <c r="G30" s="252"/>
      <c r="H30" s="252"/>
      <c r="I30" s="252"/>
      <c r="J30" s="252"/>
      <c r="K30" s="252"/>
      <c r="L30" s="252"/>
    </row>
    <row r="31" spans="1:14" ht="16.5" x14ac:dyDescent="0.45">
      <c r="A31" s="248" t="s">
        <v>203</v>
      </c>
      <c r="B31" s="249">
        <f>B11-B30</f>
        <v>5.2138497386603726</v>
      </c>
      <c r="C31" s="255"/>
      <c r="D31" s="255"/>
      <c r="E31" s="255"/>
      <c r="F31" s="255"/>
      <c r="G31" s="255"/>
      <c r="H31" s="255"/>
      <c r="I31" s="255"/>
      <c r="J31" s="255"/>
      <c r="K31" s="255"/>
      <c r="L31" s="255"/>
    </row>
    <row r="32" spans="1:14" x14ac:dyDescent="0.35">
      <c r="A32" s="22"/>
      <c r="B32" s="257"/>
      <c r="C32" s="255"/>
      <c r="D32" s="255"/>
      <c r="E32" s="255"/>
      <c r="F32" s="255"/>
      <c r="G32" s="255"/>
      <c r="H32" s="255"/>
      <c r="I32" s="255"/>
      <c r="J32" s="255"/>
      <c r="K32" s="255"/>
      <c r="L32" s="255"/>
    </row>
    <row r="33" spans="1:27" ht="18.5" x14ac:dyDescent="0.45">
      <c r="A33" s="258" t="s">
        <v>208</v>
      </c>
      <c r="B33" s="251"/>
      <c r="C33" s="252"/>
      <c r="D33" s="252"/>
      <c r="E33" s="252"/>
      <c r="F33" s="252"/>
      <c r="G33" s="252"/>
      <c r="H33" s="252"/>
      <c r="I33" s="252"/>
      <c r="J33" s="252"/>
      <c r="K33" s="252"/>
      <c r="L33" s="252"/>
    </row>
    <row r="34" spans="1:27" x14ac:dyDescent="0.35">
      <c r="A34" s="250"/>
      <c r="B34" s="251"/>
      <c r="C34" s="252"/>
      <c r="D34" s="252"/>
      <c r="E34" s="252"/>
      <c r="F34" s="252"/>
      <c r="G34" s="252"/>
      <c r="H34" s="252"/>
      <c r="I34" s="252"/>
      <c r="J34" s="252"/>
      <c r="K34" s="252"/>
      <c r="L34" s="252"/>
    </row>
    <row r="35" spans="1:27" x14ac:dyDescent="0.35">
      <c r="A35" s="42" t="s">
        <v>192</v>
      </c>
      <c r="B35" s="251"/>
      <c r="C35" s="252"/>
      <c r="D35" s="252"/>
      <c r="E35" s="252"/>
      <c r="F35" s="252"/>
      <c r="G35" s="252"/>
      <c r="H35" s="252"/>
      <c r="I35" s="252"/>
      <c r="J35" s="252"/>
      <c r="K35" s="252"/>
      <c r="L35" s="252"/>
    </row>
    <row r="36" spans="1:27" ht="16.5" x14ac:dyDescent="0.35">
      <c r="A36" s="59" t="s">
        <v>193</v>
      </c>
      <c r="B36" s="257">
        <f>B7</f>
        <v>12933.17</v>
      </c>
      <c r="C36" s="259" t="s">
        <v>209</v>
      </c>
      <c r="E36" s="252"/>
      <c r="F36" s="252"/>
      <c r="G36" s="252"/>
      <c r="H36" s="252"/>
      <c r="I36" s="252"/>
      <c r="J36" s="252"/>
      <c r="K36" s="252"/>
      <c r="L36" s="252"/>
    </row>
    <row r="37" spans="1:27" ht="17.5" x14ac:dyDescent="0.45">
      <c r="A37" s="59" t="s">
        <v>210</v>
      </c>
      <c r="B37" s="255">
        <v>20</v>
      </c>
      <c r="C37" s="260" t="s">
        <v>211</v>
      </c>
      <c r="E37" s="252"/>
      <c r="F37" s="252"/>
      <c r="G37" s="252"/>
      <c r="H37" s="252"/>
      <c r="I37" s="252"/>
      <c r="J37" s="252"/>
      <c r="K37" s="252"/>
      <c r="L37" s="252"/>
      <c r="O37" t="s">
        <v>212</v>
      </c>
      <c r="P37" t="s">
        <v>213</v>
      </c>
    </row>
    <row r="38" spans="1:27" ht="16.5" x14ac:dyDescent="0.45">
      <c r="A38" s="59" t="s">
        <v>214</v>
      </c>
      <c r="B38" s="261">
        <v>1.4</v>
      </c>
      <c r="C38" s="262"/>
      <c r="D38" s="252"/>
      <c r="E38" s="252"/>
      <c r="F38" s="252"/>
      <c r="G38" s="252"/>
      <c r="H38" s="252"/>
      <c r="I38" s="252"/>
      <c r="J38" s="252"/>
      <c r="K38" s="252"/>
      <c r="L38" s="252"/>
      <c r="N38" s="263">
        <v>2020</v>
      </c>
      <c r="O38" s="264">
        <v>18.012</v>
      </c>
      <c r="P38" s="264">
        <v>1.363</v>
      </c>
    </row>
    <row r="39" spans="1:27" x14ac:dyDescent="0.35">
      <c r="A39" s="59"/>
      <c r="B39" s="261"/>
      <c r="C39" s="262"/>
      <c r="D39" s="252"/>
      <c r="E39" s="252"/>
      <c r="F39" s="252"/>
      <c r="G39" s="252"/>
      <c r="H39" s="252"/>
      <c r="I39" s="252"/>
      <c r="J39" s="252"/>
      <c r="K39" s="252"/>
      <c r="L39" s="252"/>
      <c r="N39" s="265">
        <f>N38+1</f>
        <v>2021</v>
      </c>
      <c r="O39" s="264">
        <v>18.152999999999999</v>
      </c>
      <c r="P39" s="264">
        <v>1.3660000000000001</v>
      </c>
    </row>
    <row r="40" spans="1:27" x14ac:dyDescent="0.35">
      <c r="A40" s="47" t="s">
        <v>215</v>
      </c>
      <c r="B40" s="244">
        <v>2020</v>
      </c>
      <c r="C40" s="244">
        <f>B40+1</f>
        <v>2021</v>
      </c>
      <c r="D40" s="244">
        <f t="shared" ref="D40:J40" si="3">C40+1</f>
        <v>2022</v>
      </c>
      <c r="E40" s="244">
        <f t="shared" si="3"/>
        <v>2023</v>
      </c>
      <c r="F40" s="244">
        <f t="shared" si="3"/>
        <v>2024</v>
      </c>
      <c r="G40" s="244">
        <f t="shared" si="3"/>
        <v>2025</v>
      </c>
      <c r="H40" s="244">
        <f t="shared" si="3"/>
        <v>2026</v>
      </c>
      <c r="I40" s="244">
        <f t="shared" si="3"/>
        <v>2027</v>
      </c>
      <c r="J40" s="244">
        <f t="shared" si="3"/>
        <v>2028</v>
      </c>
      <c r="K40" s="244">
        <f>J40+1</f>
        <v>2029</v>
      </c>
      <c r="L40" s="244">
        <f t="shared" ref="L40" si="4">K40+1</f>
        <v>2030</v>
      </c>
      <c r="N40" s="265">
        <f t="shared" ref="N40:N48" si="5">N39+1</f>
        <v>2022</v>
      </c>
      <c r="O40" s="264">
        <v>18.167000000000002</v>
      </c>
      <c r="P40" s="264">
        <v>1.367</v>
      </c>
    </row>
    <row r="41" spans="1:27" ht="18.5" x14ac:dyDescent="0.45">
      <c r="A41" s="59" t="s">
        <v>216</v>
      </c>
      <c r="B41" s="266">
        <f>([16]Emissions!D7*2000)/(SUM('[16]Energy Mix'!D$5:D$19)*1000)</f>
        <v>0.48027436926878186</v>
      </c>
      <c r="C41" s="266">
        <f>([16]Emissions!E7*2000)/(SUM('[16]Energy Mix'!E$5:E$19)*1000)</f>
        <v>0.4461937797035227</v>
      </c>
      <c r="D41" s="266">
        <f>([16]Emissions!F7*2000)/(SUM('[16]Energy Mix'!F$5:F$19)*1000)</f>
        <v>0.44288880667793296</v>
      </c>
      <c r="E41" s="266">
        <f>([16]Emissions!G7*2000)/(SUM('[16]Energy Mix'!G$5:G$19)*1000)</f>
        <v>0.48030163940541448</v>
      </c>
      <c r="F41" s="266">
        <f>([16]Emissions!H7*2000)/(SUM('[16]Energy Mix'!H$5:H$19)*1000)</f>
        <v>0.3655387358052532</v>
      </c>
      <c r="G41" s="266">
        <f>([16]Emissions!I7*2000)/(SUM('[16]Energy Mix'!I$5:I$19)*1000)</f>
        <v>0.29043823052652934</v>
      </c>
      <c r="H41" s="266">
        <f>([16]Emissions!J7*2000)/(SUM('[16]Energy Mix'!J$5:J$19)*1000)</f>
        <v>0.2737137598446488</v>
      </c>
      <c r="I41" s="266">
        <f>([16]Emissions!K7*2000)/(SUM('[16]Energy Mix'!K$5:K$19)*1000)</f>
        <v>0.19249007709823016</v>
      </c>
      <c r="J41" s="266">
        <f>([16]Emissions!L7*2000)/(SUM('[16]Energy Mix'!L$5:L$19)*1000)</f>
        <v>5.8763690931006335E-2</v>
      </c>
      <c r="K41" s="266">
        <f>([16]Emissions!M7*2000)/(SUM('[16]Energy Mix'!M$5:M$19)*1000)</f>
        <v>4.8605053703209104E-2</v>
      </c>
      <c r="L41" s="266">
        <f>([16]Emissions!N7*2000)/(SUM('[16]Energy Mix'!N$5:N$19)*1000)</f>
        <v>4.8499609822980863E-2</v>
      </c>
      <c r="M41" s="267">
        <v>10</v>
      </c>
      <c r="N41" s="265">
        <f t="shared" si="5"/>
        <v>2023</v>
      </c>
      <c r="O41" s="264">
        <v>18.012</v>
      </c>
      <c r="P41" s="264">
        <v>1.3620000000000001</v>
      </c>
    </row>
    <row r="42" spans="1:27" ht="18.5" x14ac:dyDescent="0.45">
      <c r="A42" s="59" t="s">
        <v>217</v>
      </c>
      <c r="B42" s="266">
        <f>([16]Emissions!D8*2000)/(SUM('[16]Energy Mix'!D$5:D$19)*1000)</f>
        <v>8.8734484948039972E-3</v>
      </c>
      <c r="C42" s="266">
        <f>([16]Emissions!E8*2000)/(SUM('[16]Energy Mix'!E$5:E$19)*1000)</f>
        <v>8.2169990526732989E-3</v>
      </c>
      <c r="D42" s="266">
        <f>([16]Emissions!F8*2000)/(SUM('[16]Energy Mix'!F$5:F$19)*1000)</f>
        <v>7.9284070667033739E-3</v>
      </c>
      <c r="E42" s="266">
        <f>([16]Emissions!G8*2000)/(SUM('[16]Energy Mix'!G$5:G$19)*1000)</f>
        <v>9.1472141339572627E-3</v>
      </c>
      <c r="F42" s="266">
        <f>([16]Emissions!H8*2000)/(SUM('[16]Energy Mix'!H$5:H$19)*1000)</f>
        <v>6.5425747833651078E-3</v>
      </c>
      <c r="G42" s="266">
        <f>([16]Emissions!I8*2000)/(SUM('[16]Energy Mix'!I$5:I$19)*1000)</f>
        <v>5.0668722244798063E-3</v>
      </c>
      <c r="H42" s="266">
        <f>([16]Emissions!J8*2000)/(SUM('[16]Energy Mix'!J$5:J$19)*1000)</f>
        <v>4.0779575444213918E-3</v>
      </c>
      <c r="I42" s="266">
        <f>([16]Emissions!K8*2000)/(SUM('[16]Energy Mix'!K$5:K$19)*1000)</f>
        <v>4.627862127980214E-3</v>
      </c>
      <c r="J42" s="266">
        <f>([16]Emissions!L8*2000)/(SUM('[16]Energy Mix'!L$5:L$19)*1000)</f>
        <v>2.2961683534579521E-3</v>
      </c>
      <c r="K42" s="266">
        <f>([16]Emissions!M8*2000)/(SUM('[16]Energy Mix'!M$5:M$19)*1000)</f>
        <v>2.2719067107725369E-3</v>
      </c>
      <c r="L42" s="266">
        <f>([16]Emissions!N8*2000)/(SUM('[16]Energy Mix'!N$5:N$19)*1000)</f>
        <v>2.1853490477017103E-3</v>
      </c>
      <c r="M42" s="267">
        <v>11</v>
      </c>
      <c r="N42" s="265">
        <f t="shared" si="5"/>
        <v>2024</v>
      </c>
      <c r="O42" s="264">
        <v>18.486999999999998</v>
      </c>
      <c r="P42" s="264">
        <v>1.373</v>
      </c>
    </row>
    <row r="43" spans="1:27" ht="18.5" x14ac:dyDescent="0.45">
      <c r="A43" s="59" t="s">
        <v>218</v>
      </c>
      <c r="B43" s="266">
        <f>$B$15/1000*B41</f>
        <v>1.9876704206066984</v>
      </c>
      <c r="C43" s="266">
        <f t="shared" ref="C43:L44" si="6">$B$15/1000*C41</f>
        <v>1.8466240018714271</v>
      </c>
      <c r="D43" s="266">
        <f t="shared" si="6"/>
        <v>1.8329459929161098</v>
      </c>
      <c r="E43" s="266">
        <f t="shared" si="6"/>
        <v>1.9877832811868561</v>
      </c>
      <c r="F43" s="266">
        <f t="shared" si="6"/>
        <v>1.5128238757614167</v>
      </c>
      <c r="G43" s="266">
        <f t="shared" si="6"/>
        <v>1.2020118431676141</v>
      </c>
      <c r="H43" s="266">
        <f t="shared" si="6"/>
        <v>1.1327957079712054</v>
      </c>
      <c r="I43" s="266">
        <f t="shared" si="6"/>
        <v>0.7966422049358457</v>
      </c>
      <c r="J43" s="266">
        <f t="shared" si="6"/>
        <v>0.24320025748421226</v>
      </c>
      <c r="K43" s="266">
        <f t="shared" si="6"/>
        <v>0.20115757516887456</v>
      </c>
      <c r="L43" s="266">
        <f t="shared" si="6"/>
        <v>0.20072118360777008</v>
      </c>
      <c r="M43" s="267">
        <v>12</v>
      </c>
      <c r="N43" s="265">
        <f t="shared" si="5"/>
        <v>2025</v>
      </c>
      <c r="O43" s="264">
        <v>18.797999999999998</v>
      </c>
      <c r="P43" s="264">
        <v>1.379</v>
      </c>
      <c r="Q43" s="268"/>
    </row>
    <row r="44" spans="1:27" ht="16.5" x14ac:dyDescent="0.45">
      <c r="A44" s="59" t="s">
        <v>219</v>
      </c>
      <c r="B44" s="266">
        <f>$B$15/1000*B42</f>
        <v>3.6723781718254155E-2</v>
      </c>
      <c r="C44" s="266">
        <f t="shared" si="6"/>
        <v>3.4006990604180082E-2</v>
      </c>
      <c r="D44" s="266">
        <f t="shared" si="6"/>
        <v>3.2812619655320348E-2</v>
      </c>
      <c r="E44" s="266">
        <f t="shared" si="6"/>
        <v>3.785679213467906E-2</v>
      </c>
      <c r="F44" s="266">
        <f t="shared" si="6"/>
        <v>2.707719421151172E-2</v>
      </c>
      <c r="G44" s="266">
        <f t="shared" si="6"/>
        <v>2.0969830351192164E-2</v>
      </c>
      <c r="H44" s="266">
        <f t="shared" si="6"/>
        <v>1.6877093815931013E-2</v>
      </c>
      <c r="I44" s="266">
        <f t="shared" si="6"/>
        <v>1.915293684407356E-2</v>
      </c>
      <c r="J44" s="266">
        <f t="shared" si="6"/>
        <v>9.5029554124453717E-3</v>
      </c>
      <c r="K44" s="266">
        <f t="shared" si="6"/>
        <v>9.4025458286598577E-3</v>
      </c>
      <c r="L44" s="266">
        <f t="shared" si="6"/>
        <v>9.0443170378445865E-3</v>
      </c>
      <c r="N44" s="265">
        <f t="shared" si="5"/>
        <v>2026</v>
      </c>
      <c r="O44" s="264">
        <v>18.867000000000001</v>
      </c>
      <c r="P44" s="264">
        <v>1.383</v>
      </c>
    </row>
    <row r="45" spans="1:27" x14ac:dyDescent="0.35">
      <c r="A45" s="59"/>
      <c r="B45" s="266"/>
      <c r="C45" s="252"/>
      <c r="D45" s="252"/>
      <c r="E45" s="252"/>
      <c r="F45" s="252"/>
      <c r="G45" s="252"/>
      <c r="H45" s="252"/>
      <c r="I45" s="252"/>
      <c r="J45" s="252"/>
      <c r="K45" s="252"/>
      <c r="L45" s="252"/>
      <c r="N45" s="265">
        <f t="shared" si="5"/>
        <v>2027</v>
      </c>
      <c r="O45" s="264">
        <v>19.202999999999999</v>
      </c>
      <c r="P45" s="264">
        <v>1.381</v>
      </c>
    </row>
    <row r="46" spans="1:27" x14ac:dyDescent="0.35">
      <c r="A46" s="47" t="s">
        <v>220</v>
      </c>
      <c r="B46" s="266"/>
      <c r="C46" s="252"/>
      <c r="D46" s="252"/>
      <c r="E46" s="252"/>
      <c r="F46" s="252"/>
      <c r="G46" s="252"/>
      <c r="H46" s="252"/>
      <c r="I46" s="252"/>
      <c r="J46" s="252"/>
      <c r="K46" s="252"/>
      <c r="L46" s="252"/>
      <c r="N46" s="265">
        <f t="shared" si="5"/>
        <v>2028</v>
      </c>
      <c r="O46" s="264">
        <v>19.757000000000001</v>
      </c>
      <c r="P46" s="264">
        <v>1.39</v>
      </c>
    </row>
    <row r="47" spans="1:27" ht="16.5" x14ac:dyDescent="0.45">
      <c r="A47" s="269" t="s">
        <v>218</v>
      </c>
      <c r="B47" s="264">
        <f t="shared" ref="B47:L48" si="7">$B37-B43</f>
        <v>18.012329579393302</v>
      </c>
      <c r="C47" s="264">
        <f t="shared" si="7"/>
        <v>18.153375998128574</v>
      </c>
      <c r="D47" s="264">
        <f t="shared" si="7"/>
        <v>18.167054007083891</v>
      </c>
      <c r="E47" s="264">
        <f t="shared" si="7"/>
        <v>18.012216718813143</v>
      </c>
      <c r="F47" s="264">
        <f t="shared" si="7"/>
        <v>18.487176124238584</v>
      </c>
      <c r="G47" s="264">
        <f t="shared" si="7"/>
        <v>18.797988156832385</v>
      </c>
      <c r="H47" s="264">
        <f t="shared" si="7"/>
        <v>18.867204292028795</v>
      </c>
      <c r="I47" s="264">
        <f t="shared" si="7"/>
        <v>19.203357795064154</v>
      </c>
      <c r="J47" s="264">
        <f t="shared" si="7"/>
        <v>19.756799742515788</v>
      </c>
      <c r="K47" s="264">
        <f t="shared" si="7"/>
        <v>19.798842424831125</v>
      </c>
      <c r="L47" s="264">
        <f t="shared" si="7"/>
        <v>19.799278816392231</v>
      </c>
      <c r="N47" s="265">
        <f t="shared" si="5"/>
        <v>2029</v>
      </c>
      <c r="O47" s="264">
        <v>19.798999999999999</v>
      </c>
      <c r="P47" s="264">
        <v>1.391</v>
      </c>
      <c r="Q47" s="270"/>
      <c r="R47" s="270"/>
      <c r="S47" s="270"/>
      <c r="T47" s="270"/>
      <c r="U47" s="270"/>
      <c r="V47" s="270"/>
      <c r="W47" s="270"/>
      <c r="X47" s="270"/>
      <c r="Y47" s="270"/>
      <c r="Z47" s="270"/>
      <c r="AA47" s="270"/>
    </row>
    <row r="48" spans="1:27" ht="16.5" x14ac:dyDescent="0.45">
      <c r="A48" s="269" t="s">
        <v>219</v>
      </c>
      <c r="B48" s="264">
        <f t="shared" si="7"/>
        <v>1.3632762182817457</v>
      </c>
      <c r="C48" s="264">
        <f t="shared" si="7"/>
        <v>1.3659930093958199</v>
      </c>
      <c r="D48" s="264">
        <f t="shared" si="7"/>
        <v>1.3671873803446795</v>
      </c>
      <c r="E48" s="264">
        <f t="shared" si="7"/>
        <v>1.3621432078653208</v>
      </c>
      <c r="F48" s="264">
        <f t="shared" si="7"/>
        <v>1.3729228057884881</v>
      </c>
      <c r="G48" s="264">
        <f t="shared" si="7"/>
        <v>1.3790301696488076</v>
      </c>
      <c r="H48" s="264">
        <f t="shared" si="7"/>
        <v>1.3831229061840689</v>
      </c>
      <c r="I48" s="264">
        <f t="shared" si="7"/>
        <v>1.3808470631559264</v>
      </c>
      <c r="J48" s="264">
        <f t="shared" si="7"/>
        <v>1.3904970445875546</v>
      </c>
      <c r="K48" s="264">
        <f t="shared" si="7"/>
        <v>1.39059745417134</v>
      </c>
      <c r="L48" s="264">
        <f t="shared" si="7"/>
        <v>1.3909556829621552</v>
      </c>
      <c r="N48" s="265">
        <f t="shared" si="5"/>
        <v>2030</v>
      </c>
      <c r="O48" s="264">
        <v>19.798999999999999</v>
      </c>
      <c r="P48" s="264">
        <v>1.391</v>
      </c>
      <c r="Q48" s="270"/>
      <c r="R48" s="270"/>
      <c r="S48" s="270"/>
      <c r="T48" s="270"/>
      <c r="U48" s="270"/>
      <c r="V48" s="270"/>
      <c r="W48" s="270"/>
      <c r="X48" s="270"/>
      <c r="Y48" s="270"/>
      <c r="Z48" s="270"/>
      <c r="AA48" s="270"/>
    </row>
    <row r="49" spans="1:16" x14ac:dyDescent="0.35">
      <c r="A49" s="59"/>
      <c r="B49" s="270"/>
      <c r="C49" s="270"/>
      <c r="D49" s="270"/>
      <c r="E49" s="270"/>
      <c r="F49" s="270"/>
      <c r="G49" s="270"/>
      <c r="H49" s="270"/>
      <c r="I49" s="270"/>
      <c r="J49" s="270"/>
      <c r="K49" s="270"/>
      <c r="L49" s="270"/>
    </row>
    <row r="50" spans="1:16" x14ac:dyDescent="0.35">
      <c r="A50" s="271"/>
      <c r="B50" s="272"/>
      <c r="C50" s="272"/>
      <c r="D50" s="272"/>
      <c r="E50" s="272"/>
      <c r="F50" s="272"/>
      <c r="G50" s="272"/>
      <c r="H50" s="272"/>
      <c r="I50" s="272"/>
      <c r="J50" s="272"/>
      <c r="K50" s="272"/>
      <c r="L50" s="272"/>
      <c r="M50" s="273"/>
      <c r="N50" s="273"/>
      <c r="O50" s="273"/>
      <c r="P50" s="273"/>
    </row>
    <row r="51" spans="1:16" ht="16.5" x14ac:dyDescent="0.35">
      <c r="A51" s="274" t="s">
        <v>221</v>
      </c>
      <c r="B51" s="270"/>
      <c r="C51" s="270"/>
      <c r="D51" s="270"/>
      <c r="E51" s="270"/>
      <c r="F51" s="270"/>
      <c r="G51" s="270"/>
      <c r="H51" s="270"/>
      <c r="I51" s="270"/>
      <c r="J51" s="270"/>
      <c r="K51" s="270"/>
      <c r="L51" s="270"/>
    </row>
    <row r="52" spans="1:16" ht="16.5" x14ac:dyDescent="0.35">
      <c r="A52" s="274" t="s">
        <v>222</v>
      </c>
      <c r="B52" s="252"/>
      <c r="C52" s="252"/>
      <c r="D52" s="252"/>
      <c r="E52" s="252"/>
      <c r="F52" s="252"/>
      <c r="G52" s="252"/>
      <c r="H52" s="252"/>
      <c r="I52" s="252"/>
      <c r="J52" s="252"/>
      <c r="K52" s="252"/>
      <c r="L52" s="252"/>
    </row>
    <row r="53" spans="1:16" ht="16.5" x14ac:dyDescent="0.35">
      <c r="A53" s="274" t="s">
        <v>223</v>
      </c>
    </row>
    <row r="54" spans="1:16" ht="16.5" x14ac:dyDescent="0.35">
      <c r="A54" s="274" t="s">
        <v>224</v>
      </c>
    </row>
    <row r="55" spans="1:16" ht="16.5" x14ac:dyDescent="0.35">
      <c r="A55" s="274" t="s">
        <v>225</v>
      </c>
    </row>
    <row r="56" spans="1:16" ht="16.5" x14ac:dyDescent="0.35">
      <c r="A56" s="274" t="s">
        <v>226</v>
      </c>
      <c r="B56" s="243"/>
      <c r="D56" s="275"/>
    </row>
    <row r="57" spans="1:16" ht="16.5" x14ac:dyDescent="0.35">
      <c r="A57" t="s">
        <v>227</v>
      </c>
      <c r="D57" s="275"/>
    </row>
    <row r="58" spans="1:16" ht="16.5" x14ac:dyDescent="0.35">
      <c r="A58" t="s">
        <v>228</v>
      </c>
      <c r="B58" s="243"/>
    </row>
    <row r="59" spans="1:16" ht="16.5" x14ac:dyDescent="0.35">
      <c r="A59" s="274" t="s">
        <v>229</v>
      </c>
      <c r="B59" s="243"/>
    </row>
    <row r="60" spans="1:16" ht="16.5" x14ac:dyDescent="0.35">
      <c r="A60" s="274" t="s">
        <v>230</v>
      </c>
      <c r="B60" s="84"/>
    </row>
    <row r="61" spans="1:16" ht="16.5" x14ac:dyDescent="0.35">
      <c r="A61" s="274" t="s">
        <v>231</v>
      </c>
      <c r="B61" s="84"/>
    </row>
    <row r="62" spans="1:16" ht="16.5" x14ac:dyDescent="0.35">
      <c r="A62" s="274" t="s">
        <v>232</v>
      </c>
    </row>
    <row r="63" spans="1:16" x14ac:dyDescent="0.35">
      <c r="A63" s="22"/>
      <c r="B63" s="240"/>
      <c r="D63" s="275"/>
    </row>
    <row r="64" spans="1:16" x14ac:dyDescent="0.35">
      <c r="A64" s="22"/>
      <c r="B64" s="243"/>
    </row>
    <row r="65" spans="1:12" x14ac:dyDescent="0.35">
      <c r="A65" s="22"/>
      <c r="B65" s="243"/>
    </row>
    <row r="66" spans="1:12" x14ac:dyDescent="0.35">
      <c r="A66" s="47"/>
      <c r="B66" s="243"/>
    </row>
    <row r="67" spans="1:12" s="22" customFormat="1" x14ac:dyDescent="0.35">
      <c r="B67" s="247"/>
      <c r="C67" s="247"/>
      <c r="D67" s="247"/>
      <c r="E67" s="247"/>
      <c r="F67" s="247"/>
      <c r="G67" s="247"/>
      <c r="H67" s="247"/>
      <c r="I67" s="247"/>
      <c r="J67" s="247"/>
      <c r="K67" s="247"/>
      <c r="L67" s="247"/>
    </row>
    <row r="68" spans="1:12" x14ac:dyDescent="0.35">
      <c r="A68" s="22"/>
      <c r="B68" s="257"/>
      <c r="C68" s="257"/>
      <c r="D68" s="257"/>
      <c r="E68" s="257"/>
      <c r="F68" s="257"/>
      <c r="G68" s="257"/>
      <c r="H68" s="257"/>
      <c r="I68" s="257"/>
      <c r="J68" s="257"/>
      <c r="K68" s="257"/>
      <c r="L68" s="257"/>
    </row>
    <row r="69" spans="1:12" x14ac:dyDescent="0.35">
      <c r="A69" s="22"/>
      <c r="B69" s="243"/>
    </row>
    <row r="70" spans="1:12" x14ac:dyDescent="0.35">
      <c r="A70" s="47"/>
      <c r="B70" s="251"/>
    </row>
    <row r="71" spans="1:12" x14ac:dyDescent="0.35">
      <c r="A71" s="22"/>
      <c r="B71" s="252"/>
    </row>
    <row r="72" spans="1:12" x14ac:dyDescent="0.35">
      <c r="A72" s="22"/>
      <c r="B72" s="247"/>
    </row>
    <row r="73" spans="1:12" x14ac:dyDescent="0.35">
      <c r="A73" s="22"/>
      <c r="B73" s="257"/>
    </row>
    <row r="74" spans="1:12" x14ac:dyDescent="0.35">
      <c r="A74" s="250"/>
      <c r="B74" s="251"/>
    </row>
    <row r="75" spans="1:12" x14ac:dyDescent="0.35">
      <c r="A75" s="47"/>
      <c r="B75" s="251"/>
    </row>
    <row r="76" spans="1:12" x14ac:dyDescent="0.35">
      <c r="A76" s="22"/>
      <c r="B76" s="252"/>
    </row>
    <row r="77" spans="1:12" x14ac:dyDescent="0.35">
      <c r="A77" s="22"/>
      <c r="B77" s="247"/>
    </row>
    <row r="78" spans="1:12" x14ac:dyDescent="0.35">
      <c r="A78" s="22"/>
      <c r="B78" s="257"/>
    </row>
  </sheetData>
  <pageMargins left="0.7" right="0.7" top="0.75" bottom="0.75" header="0.3" footer="0.3"/>
  <pageSetup scale="4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83C1E-5041-4FDA-81C5-138081845AC6}">
  <sheetPr>
    <pageSetUpPr fitToPage="1"/>
  </sheetPr>
  <dimension ref="A1:T51"/>
  <sheetViews>
    <sheetView topLeftCell="A10" zoomScale="90" zoomScaleNormal="90" workbookViewId="0">
      <selection activeCell="F20" sqref="F20:I20"/>
    </sheetView>
  </sheetViews>
  <sheetFormatPr defaultRowHeight="14.5" x14ac:dyDescent="0.35"/>
  <cols>
    <col min="1" max="1" width="4.1796875" customWidth="1"/>
    <col min="5" max="5" width="2.7265625" customWidth="1"/>
    <col min="7" max="8" width="9.7265625" customWidth="1"/>
    <col min="9" max="9" width="2.7265625" customWidth="1"/>
    <col min="12" max="12" width="10.453125" customWidth="1"/>
    <col min="13" max="13" width="11.7265625" customWidth="1"/>
    <col min="14" max="14" width="11.81640625" customWidth="1"/>
    <col min="15" max="15" width="12.453125" customWidth="1"/>
    <col min="16" max="18" width="10.453125" customWidth="1"/>
    <col min="19" max="21" width="13.26953125" customWidth="1"/>
  </cols>
  <sheetData>
    <row r="1" spans="2:20" ht="23.5" x14ac:dyDescent="0.55000000000000004">
      <c r="B1" s="237" t="s">
        <v>189</v>
      </c>
    </row>
    <row r="3" spans="2:20" ht="18.5" x14ac:dyDescent="0.45">
      <c r="B3" s="238" t="s">
        <v>233</v>
      </c>
    </row>
    <row r="4" spans="2:20" x14ac:dyDescent="0.35">
      <c r="B4" t="s">
        <v>234</v>
      </c>
    </row>
    <row r="6" spans="2:20" ht="18.5" x14ac:dyDescent="0.45">
      <c r="B6" s="276" t="s">
        <v>235</v>
      </c>
      <c r="F6" s="2" t="s">
        <v>236</v>
      </c>
      <c r="K6" s="276" t="s">
        <v>237</v>
      </c>
    </row>
    <row r="7" spans="2:20" x14ac:dyDescent="0.35">
      <c r="B7" s="2"/>
      <c r="H7" s="73">
        <v>0.02</v>
      </c>
    </row>
    <row r="8" spans="2:20" x14ac:dyDescent="0.35">
      <c r="C8" t="s">
        <v>238</v>
      </c>
      <c r="K8" t="s">
        <v>238</v>
      </c>
    </row>
    <row r="9" spans="2:20" x14ac:dyDescent="0.35">
      <c r="C9" t="s">
        <v>239</v>
      </c>
      <c r="F9" t="s">
        <v>240</v>
      </c>
      <c r="K9" t="s">
        <v>241</v>
      </c>
    </row>
    <row r="11" spans="2:20" x14ac:dyDescent="0.35">
      <c r="B11" s="277" t="s">
        <v>157</v>
      </c>
      <c r="C11" s="278" t="s">
        <v>242</v>
      </c>
      <c r="D11" s="278"/>
      <c r="F11" s="277" t="s">
        <v>157</v>
      </c>
      <c r="G11" s="278" t="s">
        <v>242</v>
      </c>
      <c r="H11" s="278"/>
      <c r="L11" s="278" t="s">
        <v>243</v>
      </c>
      <c r="M11" s="278"/>
      <c r="N11" s="278"/>
      <c r="O11" s="279" t="s">
        <v>244</v>
      </c>
      <c r="P11" s="278"/>
      <c r="Q11" s="278"/>
      <c r="R11" s="279" t="s">
        <v>245</v>
      </c>
      <c r="S11" s="278"/>
      <c r="T11" s="280"/>
    </row>
    <row r="12" spans="2:20" x14ac:dyDescent="0.35">
      <c r="B12" s="277"/>
      <c r="C12" s="32" t="s">
        <v>246</v>
      </c>
      <c r="D12" s="32" t="s">
        <v>161</v>
      </c>
      <c r="F12" s="277"/>
      <c r="G12" s="32" t="s">
        <v>246</v>
      </c>
      <c r="H12" s="32" t="s">
        <v>161</v>
      </c>
      <c r="L12" s="193" t="s">
        <v>160</v>
      </c>
      <c r="M12" s="193" t="s">
        <v>247</v>
      </c>
      <c r="N12" s="193" t="s">
        <v>161</v>
      </c>
      <c r="O12" s="281" t="s">
        <v>160</v>
      </c>
      <c r="P12" s="193" t="s">
        <v>247</v>
      </c>
      <c r="Q12" s="193" t="s">
        <v>161</v>
      </c>
      <c r="R12" s="281" t="s">
        <v>160</v>
      </c>
      <c r="S12" s="193" t="s">
        <v>247</v>
      </c>
      <c r="T12" s="193" t="s">
        <v>161</v>
      </c>
    </row>
    <row r="13" spans="2:20" x14ac:dyDescent="0.35">
      <c r="B13">
        <v>2017</v>
      </c>
      <c r="C13" s="28">
        <v>8.44</v>
      </c>
      <c r="D13" s="28">
        <v>39.76</v>
      </c>
      <c r="F13">
        <v>2017</v>
      </c>
      <c r="G13" s="28">
        <f t="shared" ref="G13:G46" si="0">C13*(1+$H$7)^(F13-2015)</f>
        <v>8.780975999999999</v>
      </c>
      <c r="H13" s="28">
        <f t="shared" ref="H13:H46" si="1">D13*(1+$H$7)^(F13-2015)</f>
        <v>41.366304</v>
      </c>
      <c r="L13" s="193"/>
      <c r="M13" s="193"/>
      <c r="N13" s="193"/>
      <c r="O13" s="281"/>
      <c r="P13" s="193"/>
      <c r="Q13" s="193"/>
      <c r="R13" s="281"/>
      <c r="S13" s="193"/>
      <c r="T13" s="193"/>
    </row>
    <row r="14" spans="2:20" ht="16.5" x14ac:dyDescent="0.45">
      <c r="B14">
        <f>B13+1</f>
        <v>2018</v>
      </c>
      <c r="C14" s="28">
        <v>8.64</v>
      </c>
      <c r="D14" s="28">
        <v>40.659999999999997</v>
      </c>
      <c r="F14">
        <f>F13+1</f>
        <v>2018</v>
      </c>
      <c r="G14" s="28">
        <f t="shared" si="0"/>
        <v>9.1688371199999992</v>
      </c>
      <c r="H14" s="28">
        <f t="shared" si="1"/>
        <v>43.148717279999993</v>
      </c>
      <c r="K14" t="s">
        <v>248</v>
      </c>
      <c r="L14" s="282">
        <v>3437</v>
      </c>
      <c r="M14" s="282">
        <v>6220</v>
      </c>
      <c r="N14" s="282">
        <v>8441</v>
      </c>
      <c r="O14" s="283">
        <v>6450</v>
      </c>
      <c r="P14" s="284">
        <v>11724</v>
      </c>
      <c r="Q14" s="284">
        <v>16078</v>
      </c>
      <c r="R14" s="283">
        <v>10063</v>
      </c>
      <c r="S14" s="284">
        <v>18305</v>
      </c>
      <c r="T14" s="284">
        <v>25137</v>
      </c>
    </row>
    <row r="15" spans="2:20" ht="16.5" x14ac:dyDescent="0.45">
      <c r="B15">
        <f t="shared" ref="B15:B46" si="2">B14+1</f>
        <v>2019</v>
      </c>
      <c r="C15" s="28">
        <v>8.85</v>
      </c>
      <c r="D15" s="28">
        <v>41.56</v>
      </c>
      <c r="F15">
        <f t="shared" ref="F15:F46" si="3">F14+1</f>
        <v>2019</v>
      </c>
      <c r="G15" s="28">
        <f t="shared" si="0"/>
        <v>9.5795246159999987</v>
      </c>
      <c r="H15" s="28">
        <f t="shared" si="1"/>
        <v>44.985880569599999</v>
      </c>
      <c r="K15" t="s">
        <v>249</v>
      </c>
      <c r="L15" s="282">
        <v>1985</v>
      </c>
      <c r="M15" s="282">
        <v>4762</v>
      </c>
      <c r="N15" s="282">
        <v>6370</v>
      </c>
      <c r="O15" s="285">
        <v>2467</v>
      </c>
      <c r="P15" s="282">
        <v>5352</v>
      </c>
      <c r="Q15" s="282">
        <v>7336</v>
      </c>
      <c r="R15" s="285">
        <v>2760</v>
      </c>
      <c r="S15" s="282">
        <v>5755</v>
      </c>
      <c r="T15" s="282">
        <v>7893</v>
      </c>
    </row>
    <row r="16" spans="2:20" ht="16.5" x14ac:dyDescent="0.45">
      <c r="B16">
        <f t="shared" si="2"/>
        <v>2020</v>
      </c>
      <c r="C16" s="28">
        <v>9.0500000000000007</v>
      </c>
      <c r="D16" s="28">
        <v>42.46</v>
      </c>
      <c r="F16">
        <f t="shared" si="3"/>
        <v>2020</v>
      </c>
      <c r="G16" s="28">
        <f t="shared" si="0"/>
        <v>9.9919312689600002</v>
      </c>
      <c r="H16" s="28">
        <f t="shared" si="1"/>
        <v>46.879270903872005</v>
      </c>
      <c r="K16" t="s">
        <v>250</v>
      </c>
      <c r="L16" s="282">
        <v>3427</v>
      </c>
      <c r="M16" s="282">
        <v>6159</v>
      </c>
      <c r="N16" s="282">
        <v>8352</v>
      </c>
      <c r="O16" s="285">
        <v>4543</v>
      </c>
      <c r="P16" s="282">
        <v>8245</v>
      </c>
      <c r="Q16" s="282">
        <v>11317</v>
      </c>
      <c r="R16" s="285">
        <v>5753</v>
      </c>
      <c r="S16" s="282">
        <v>10439</v>
      </c>
      <c r="T16" s="282">
        <v>14382</v>
      </c>
    </row>
    <row r="17" spans="2:20" x14ac:dyDescent="0.35">
      <c r="B17">
        <f t="shared" si="2"/>
        <v>2021</v>
      </c>
      <c r="C17" s="28">
        <v>9.25</v>
      </c>
      <c r="D17" s="28">
        <v>43.36</v>
      </c>
      <c r="F17">
        <f t="shared" si="3"/>
        <v>2021</v>
      </c>
      <c r="G17" s="28">
        <f t="shared" si="0"/>
        <v>10.417002378192</v>
      </c>
      <c r="H17" s="28">
        <f t="shared" si="1"/>
        <v>48.83040249928704</v>
      </c>
      <c r="L17" s="286"/>
      <c r="M17" s="286"/>
      <c r="N17" s="286"/>
      <c r="O17" s="286"/>
      <c r="P17" s="286"/>
      <c r="Q17" s="286"/>
      <c r="R17" s="286"/>
      <c r="S17" s="286"/>
      <c r="T17" s="286"/>
    </row>
    <row r="18" spans="2:20" ht="18.5" x14ac:dyDescent="0.45">
      <c r="B18">
        <f t="shared" si="2"/>
        <v>2022</v>
      </c>
      <c r="C18" s="28">
        <v>9.4600000000000009</v>
      </c>
      <c r="D18" s="28">
        <v>44.26</v>
      </c>
      <c r="F18">
        <f t="shared" si="3"/>
        <v>2022</v>
      </c>
      <c r="G18" s="28">
        <f t="shared" si="0"/>
        <v>10.866566415962188</v>
      </c>
      <c r="H18" s="28">
        <f t="shared" si="1"/>
        <v>50.840827650157124</v>
      </c>
      <c r="K18" s="276" t="s">
        <v>251</v>
      </c>
    </row>
    <row r="19" spans="2:20" ht="16.5" x14ac:dyDescent="0.45">
      <c r="B19">
        <f t="shared" si="2"/>
        <v>2023</v>
      </c>
      <c r="C19" s="28">
        <v>9.66</v>
      </c>
      <c r="D19" s="28">
        <v>45.16</v>
      </c>
      <c r="F19">
        <f t="shared" si="3"/>
        <v>2023</v>
      </c>
      <c r="G19" s="28">
        <f t="shared" si="0"/>
        <v>11.318229620481885</v>
      </c>
      <c r="H19" s="28">
        <f t="shared" si="1"/>
        <v>52.912137646062305</v>
      </c>
      <c r="L19" s="280" t="s">
        <v>249</v>
      </c>
      <c r="M19" s="280"/>
      <c r="N19" s="280" t="s">
        <v>248</v>
      </c>
      <c r="O19" s="280"/>
    </row>
    <row r="20" spans="2:20" x14ac:dyDescent="0.35">
      <c r="B20">
        <f t="shared" si="2"/>
        <v>2024</v>
      </c>
      <c r="C20" s="28">
        <v>9.8699999999999992</v>
      </c>
      <c r="D20" s="28">
        <v>46.06</v>
      </c>
      <c r="F20">
        <f t="shared" si="3"/>
        <v>2024</v>
      </c>
      <c r="G20" s="28">
        <f t="shared" si="0"/>
        <v>11.795563652302206</v>
      </c>
      <c r="H20" s="28">
        <f t="shared" si="1"/>
        <v>55.045963710743642</v>
      </c>
      <c r="L20" s="193" t="s">
        <v>246</v>
      </c>
      <c r="M20" s="193" t="s">
        <v>161</v>
      </c>
      <c r="N20" s="193" t="s">
        <v>160</v>
      </c>
      <c r="O20" s="193" t="s">
        <v>161</v>
      </c>
    </row>
    <row r="21" spans="2:20" x14ac:dyDescent="0.35">
      <c r="B21">
        <f t="shared" si="2"/>
        <v>2025</v>
      </c>
      <c r="C21" s="28">
        <v>10.07</v>
      </c>
      <c r="D21" s="28">
        <v>46.96</v>
      </c>
      <c r="F21">
        <f t="shared" si="3"/>
        <v>2025</v>
      </c>
      <c r="G21" s="28">
        <f t="shared" si="0"/>
        <v>12.275273809347205</v>
      </c>
      <c r="H21" s="28">
        <f t="shared" si="1"/>
        <v>57.243977962953792</v>
      </c>
      <c r="K21">
        <f t="shared" ref="K21:K31" si="4">B16</f>
        <v>2020</v>
      </c>
      <c r="L21" s="28">
        <f t="shared" ref="L21:L31" si="5">R$15*(1+$H$7)^(K21-2014)</f>
        <v>3108.2082771686401</v>
      </c>
      <c r="M21" s="28">
        <f t="shared" ref="M21:M31" si="6">T$15*(1+$H$7)^(K21-2014)</f>
        <v>8888.7999752507531</v>
      </c>
      <c r="N21" s="28">
        <f t="shared" ref="N21:N31" si="7">R$14*(1+$H$7)^(K21-2014)</f>
        <v>11332.572425053633</v>
      </c>
      <c r="O21" s="28">
        <f t="shared" ref="O21:O31" si="8">T$14*(1+$H$7)^(K21-2014)</f>
        <v>28308.344733039168</v>
      </c>
    </row>
    <row r="22" spans="2:20" x14ac:dyDescent="0.35">
      <c r="B22">
        <f t="shared" si="2"/>
        <v>2026</v>
      </c>
      <c r="C22" s="28">
        <v>10.28</v>
      </c>
      <c r="D22" s="28">
        <v>47.86</v>
      </c>
      <c r="F22">
        <f t="shared" si="3"/>
        <v>2026</v>
      </c>
      <c r="G22" s="28">
        <f t="shared" si="0"/>
        <v>12.781887890297021</v>
      </c>
      <c r="H22" s="28">
        <f t="shared" si="1"/>
        <v>59.507894399768048</v>
      </c>
      <c r="K22">
        <f t="shared" si="4"/>
        <v>2021</v>
      </c>
      <c r="L22" s="28">
        <f t="shared" si="5"/>
        <v>3170.3724427120123</v>
      </c>
      <c r="M22" s="28">
        <f t="shared" si="6"/>
        <v>9066.5759747557659</v>
      </c>
      <c r="N22" s="28">
        <f t="shared" si="7"/>
        <v>11559.223873554703</v>
      </c>
      <c r="O22" s="28">
        <f t="shared" si="8"/>
        <v>28874.511627699947</v>
      </c>
    </row>
    <row r="23" spans="2:20" x14ac:dyDescent="0.35">
      <c r="B23">
        <f t="shared" si="2"/>
        <v>2027</v>
      </c>
      <c r="C23" s="28">
        <v>10.48</v>
      </c>
      <c r="D23" s="28">
        <v>48.77</v>
      </c>
      <c r="F23">
        <f t="shared" si="3"/>
        <v>2027</v>
      </c>
      <c r="G23" s="28">
        <f t="shared" si="0"/>
        <v>13.291174007015474</v>
      </c>
      <c r="H23" s="28">
        <f t="shared" si="1"/>
        <v>61.852152320815335</v>
      </c>
      <c r="K23">
        <f t="shared" si="4"/>
        <v>2022</v>
      </c>
      <c r="L23" s="28">
        <f t="shared" si="5"/>
        <v>3233.7798915662529</v>
      </c>
      <c r="M23" s="28">
        <f t="shared" si="6"/>
        <v>9247.9074942508814</v>
      </c>
      <c r="N23" s="28">
        <f t="shared" si="7"/>
        <v>11790.408351025799</v>
      </c>
      <c r="O23" s="28">
        <f t="shared" si="8"/>
        <v>29452.001860253949</v>
      </c>
    </row>
    <row r="24" spans="2:20" x14ac:dyDescent="0.35">
      <c r="B24">
        <f t="shared" si="2"/>
        <v>2028</v>
      </c>
      <c r="C24" s="28">
        <v>10.69</v>
      </c>
      <c r="D24" s="28">
        <v>49.67</v>
      </c>
      <c r="F24">
        <f t="shared" si="3"/>
        <v>2028</v>
      </c>
      <c r="G24" s="28">
        <f t="shared" si="0"/>
        <v>13.828654879551079</v>
      </c>
      <c r="H24" s="28">
        <f t="shared" si="1"/>
        <v>64.253441334640058</v>
      </c>
      <c r="K24">
        <f t="shared" si="4"/>
        <v>2023</v>
      </c>
      <c r="L24" s="28">
        <f t="shared" si="5"/>
        <v>3298.4554893975778</v>
      </c>
      <c r="M24" s="28">
        <f t="shared" si="6"/>
        <v>9432.8656441358999</v>
      </c>
      <c r="N24" s="28">
        <f t="shared" si="7"/>
        <v>12026.216518046314</v>
      </c>
      <c r="O24" s="28">
        <f t="shared" si="8"/>
        <v>30041.041897459028</v>
      </c>
    </row>
    <row r="25" spans="2:20" x14ac:dyDescent="0.35">
      <c r="B25">
        <f t="shared" si="2"/>
        <v>2029</v>
      </c>
      <c r="C25" s="28">
        <v>10.89</v>
      </c>
      <c r="D25" s="28">
        <v>50.57</v>
      </c>
      <c r="F25">
        <f t="shared" si="3"/>
        <v>2029</v>
      </c>
      <c r="G25" s="28">
        <f t="shared" si="0"/>
        <v>14.369123729754678</v>
      </c>
      <c r="H25" s="28">
        <f t="shared" si="1"/>
        <v>66.726041048089442</v>
      </c>
      <c r="K25">
        <f t="shared" si="4"/>
        <v>2024</v>
      </c>
      <c r="L25" s="28">
        <f t="shared" si="5"/>
        <v>3364.4245991855296</v>
      </c>
      <c r="M25" s="28">
        <f t="shared" si="6"/>
        <v>9621.5229570186184</v>
      </c>
      <c r="N25" s="28">
        <f t="shared" si="7"/>
        <v>12266.74084840724</v>
      </c>
      <c r="O25" s="28">
        <f t="shared" si="8"/>
        <v>30641.862735408209</v>
      </c>
    </row>
    <row r="26" spans="2:20" x14ac:dyDescent="0.35">
      <c r="B26">
        <f t="shared" si="2"/>
        <v>2030</v>
      </c>
      <c r="C26" s="28">
        <v>11.1</v>
      </c>
      <c r="D26" s="28">
        <v>51.47</v>
      </c>
      <c r="F26">
        <f t="shared" si="3"/>
        <v>2030</v>
      </c>
      <c r="G26" s="28">
        <f t="shared" si="0"/>
        <v>14.939138555397834</v>
      </c>
      <c r="H26" s="28">
        <f t="shared" si="1"/>
        <v>69.271843373542936</v>
      </c>
      <c r="K26">
        <f t="shared" si="4"/>
        <v>2025</v>
      </c>
      <c r="L26" s="28">
        <f t="shared" si="5"/>
        <v>3431.7130911692398</v>
      </c>
      <c r="M26" s="28">
        <f t="shared" si="6"/>
        <v>9813.9534161589891</v>
      </c>
      <c r="N26" s="28">
        <f t="shared" si="7"/>
        <v>12512.075665375383</v>
      </c>
      <c r="O26" s="28">
        <f t="shared" si="8"/>
        <v>31254.699990116369</v>
      </c>
    </row>
    <row r="27" spans="2:20" x14ac:dyDescent="0.35">
      <c r="B27">
        <f t="shared" si="2"/>
        <v>2031</v>
      </c>
      <c r="C27" s="28">
        <v>11.3</v>
      </c>
      <c r="D27" s="28">
        <v>52.37</v>
      </c>
      <c r="F27">
        <f t="shared" si="3"/>
        <v>2031</v>
      </c>
      <c r="G27" s="28">
        <f t="shared" si="0"/>
        <v>15.512478467523916</v>
      </c>
      <c r="H27" s="28">
        <f t="shared" si="1"/>
        <v>71.892787375595347</v>
      </c>
      <c r="K27">
        <f t="shared" si="4"/>
        <v>2026</v>
      </c>
      <c r="L27" s="28">
        <f t="shared" si="5"/>
        <v>3500.347352992625</v>
      </c>
      <c r="M27" s="28">
        <f t="shared" si="6"/>
        <v>10010.232484482171</v>
      </c>
      <c r="N27" s="28">
        <f t="shared" si="7"/>
        <v>12762.317178682893</v>
      </c>
      <c r="O27" s="28">
        <f t="shared" si="8"/>
        <v>31879.7939899187</v>
      </c>
    </row>
    <row r="28" spans="2:20" x14ac:dyDescent="0.35">
      <c r="B28">
        <f t="shared" si="2"/>
        <v>2032</v>
      </c>
      <c r="C28" s="28">
        <v>11.51</v>
      </c>
      <c r="D28" s="28">
        <v>53.27</v>
      </c>
      <c r="F28">
        <f t="shared" si="3"/>
        <v>2032</v>
      </c>
      <c r="G28" s="28">
        <f t="shared" si="0"/>
        <v>16.116778734904806</v>
      </c>
      <c r="H28" s="28">
        <f t="shared" si="1"/>
        <v>74.59086040038045</v>
      </c>
      <c r="K28">
        <f t="shared" si="4"/>
        <v>2027</v>
      </c>
      <c r="L28" s="28">
        <f t="shared" si="5"/>
        <v>3570.3543000524774</v>
      </c>
      <c r="M28" s="28">
        <f t="shared" si="6"/>
        <v>10210.437134171812</v>
      </c>
      <c r="N28" s="28">
        <f t="shared" si="7"/>
        <v>13017.563522256551</v>
      </c>
      <c r="O28" s="28">
        <f t="shared" si="8"/>
        <v>32517.389869717073</v>
      </c>
    </row>
    <row r="29" spans="2:20" x14ac:dyDescent="0.35">
      <c r="B29">
        <f t="shared" si="2"/>
        <v>2033</v>
      </c>
      <c r="C29" s="28">
        <v>11.71</v>
      </c>
      <c r="D29" s="28">
        <v>54.17</v>
      </c>
      <c r="F29">
        <f t="shared" si="3"/>
        <v>2033</v>
      </c>
      <c r="G29" s="28">
        <f t="shared" si="0"/>
        <v>16.724763559118156</v>
      </c>
      <c r="H29" s="28">
        <f t="shared" si="1"/>
        <v>77.368099231206699</v>
      </c>
      <c r="K29">
        <f t="shared" si="4"/>
        <v>2028</v>
      </c>
      <c r="L29" s="28">
        <f t="shared" si="5"/>
        <v>3641.7613860535271</v>
      </c>
      <c r="M29" s="28">
        <f t="shared" si="6"/>
        <v>10414.645876855249</v>
      </c>
      <c r="N29" s="28">
        <f t="shared" si="7"/>
        <v>13277.914792701682</v>
      </c>
      <c r="O29" s="28">
        <f t="shared" si="8"/>
        <v>33167.737667111418</v>
      </c>
    </row>
    <row r="30" spans="2:20" x14ac:dyDescent="0.35">
      <c r="B30">
        <f t="shared" si="2"/>
        <v>2034</v>
      </c>
      <c r="C30" s="28">
        <v>11.92</v>
      </c>
      <c r="D30" s="28">
        <v>55.07</v>
      </c>
      <c r="F30">
        <f t="shared" si="3"/>
        <v>2034</v>
      </c>
      <c r="G30" s="28">
        <f t="shared" si="0"/>
        <v>17.365189176531352</v>
      </c>
      <c r="H30" s="28">
        <f t="shared" si="1"/>
        <v>80.226591271105846</v>
      </c>
      <c r="K30">
        <f t="shared" si="4"/>
        <v>2029</v>
      </c>
      <c r="L30" s="28">
        <f t="shared" si="5"/>
        <v>3714.5966137745968</v>
      </c>
      <c r="M30" s="28">
        <f t="shared" si="6"/>
        <v>10622.938794392352</v>
      </c>
      <c r="N30" s="28">
        <f t="shared" si="7"/>
        <v>13543.473088555713</v>
      </c>
      <c r="O30" s="28">
        <f t="shared" si="8"/>
        <v>33831.092420453635</v>
      </c>
    </row>
    <row r="31" spans="2:20" x14ac:dyDescent="0.35">
      <c r="B31">
        <f t="shared" si="2"/>
        <v>2035</v>
      </c>
      <c r="C31" s="28">
        <v>12.12</v>
      </c>
      <c r="D31" s="28">
        <v>55.97</v>
      </c>
      <c r="F31">
        <f t="shared" si="3"/>
        <v>2035</v>
      </c>
      <c r="G31" s="28">
        <f t="shared" si="0"/>
        <v>18.009682439257652</v>
      </c>
      <c r="H31" s="28">
        <f t="shared" si="1"/>
        <v>83.168475752908492</v>
      </c>
      <c r="K31">
        <f t="shared" si="4"/>
        <v>2030</v>
      </c>
      <c r="L31" s="28">
        <f t="shared" si="5"/>
        <v>3788.8885460500892</v>
      </c>
      <c r="M31" s="28">
        <f t="shared" si="6"/>
        <v>10835.3975702802</v>
      </c>
      <c r="N31" s="28">
        <f t="shared" si="7"/>
        <v>13814.342550326828</v>
      </c>
      <c r="O31" s="28">
        <f t="shared" si="8"/>
        <v>34507.714268862714</v>
      </c>
    </row>
    <row r="32" spans="2:20" x14ac:dyDescent="0.35">
      <c r="B32">
        <f t="shared" si="2"/>
        <v>2036</v>
      </c>
      <c r="C32" s="28">
        <v>12.33</v>
      </c>
      <c r="D32" s="28">
        <v>56.87</v>
      </c>
      <c r="F32">
        <f t="shared" si="3"/>
        <v>2036</v>
      </c>
      <c r="G32" s="28">
        <f t="shared" si="0"/>
        <v>18.68816602026137</v>
      </c>
      <c r="H32" s="28">
        <f t="shared" si="1"/>
        <v>86.195944977474781</v>
      </c>
    </row>
    <row r="33" spans="1:20" ht="16.5" x14ac:dyDescent="0.35">
      <c r="B33">
        <f t="shared" si="2"/>
        <v>2037</v>
      </c>
      <c r="C33" s="28">
        <v>12.53</v>
      </c>
      <c r="D33" s="28">
        <v>57.77</v>
      </c>
      <c r="F33">
        <f t="shared" si="3"/>
        <v>2037</v>
      </c>
      <c r="G33" s="28">
        <f t="shared" si="0"/>
        <v>19.371125274821772</v>
      </c>
      <c r="H33" s="28">
        <f t="shared" si="1"/>
        <v>89.31124558072257</v>
      </c>
      <c r="I33" s="241">
        <v>1</v>
      </c>
    </row>
    <row r="34" spans="1:20" ht="16.5" x14ac:dyDescent="0.35">
      <c r="B34">
        <f t="shared" si="2"/>
        <v>2038</v>
      </c>
      <c r="C34" s="28">
        <v>12.74</v>
      </c>
      <c r="D34" s="28">
        <v>58.67</v>
      </c>
      <c r="F34">
        <f t="shared" si="3"/>
        <v>2038</v>
      </c>
      <c r="G34" s="28">
        <f t="shared" si="0"/>
        <v>20.0896966257984</v>
      </c>
      <c r="H34" s="28">
        <f t="shared" si="1"/>
        <v>92.516679830109268</v>
      </c>
      <c r="I34" s="241">
        <v>2</v>
      </c>
    </row>
    <row r="35" spans="1:20" ht="16.5" x14ac:dyDescent="0.35">
      <c r="B35">
        <f t="shared" si="2"/>
        <v>2039</v>
      </c>
      <c r="C35" s="28">
        <v>12.94</v>
      </c>
      <c r="D35" s="28">
        <v>59.58</v>
      </c>
      <c r="F35">
        <f t="shared" si="3"/>
        <v>2039</v>
      </c>
      <c r="G35" s="28">
        <f t="shared" si="0"/>
        <v>20.813178008209412</v>
      </c>
      <c r="H35" s="28">
        <f t="shared" si="1"/>
        <v>95.830691323733902</v>
      </c>
      <c r="I35" s="241">
        <v>3</v>
      </c>
    </row>
    <row r="36" spans="1:20" x14ac:dyDescent="0.35">
      <c r="B36">
        <f t="shared" si="2"/>
        <v>2040</v>
      </c>
      <c r="C36" s="28">
        <v>13.15</v>
      </c>
      <c r="D36" s="28">
        <v>60.48</v>
      </c>
      <c r="F36">
        <f t="shared" si="3"/>
        <v>2040</v>
      </c>
      <c r="G36" s="28">
        <f t="shared" si="0"/>
        <v>21.573968827211193</v>
      </c>
      <c r="H36" s="28">
        <f t="shared" si="1"/>
        <v>99.223850545226838</v>
      </c>
    </row>
    <row r="37" spans="1:20" x14ac:dyDescent="0.35">
      <c r="B37">
        <f t="shared" si="2"/>
        <v>2041</v>
      </c>
      <c r="C37" s="28">
        <v>13.35</v>
      </c>
      <c r="D37" s="28">
        <v>61.38</v>
      </c>
      <c r="F37">
        <f t="shared" si="3"/>
        <v>2041</v>
      </c>
      <c r="G37" s="28">
        <f t="shared" si="0"/>
        <v>22.340131826626223</v>
      </c>
      <c r="H37" s="28">
        <f t="shared" si="1"/>
        <v>102.71440385905002</v>
      </c>
    </row>
    <row r="38" spans="1:20" x14ac:dyDescent="0.35">
      <c r="B38">
        <f t="shared" si="2"/>
        <v>2042</v>
      </c>
      <c r="C38" s="28">
        <v>13.56</v>
      </c>
      <c r="D38" s="28">
        <v>62.28</v>
      </c>
      <c r="F38">
        <f t="shared" si="3"/>
        <v>2042</v>
      </c>
      <c r="G38" s="28">
        <f t="shared" si="0"/>
        <v>23.145380623253377</v>
      </c>
      <c r="H38" s="28">
        <f t="shared" si="1"/>
        <v>106.30488976520799</v>
      </c>
    </row>
    <row r="39" spans="1:20" x14ac:dyDescent="0.35">
      <c r="B39">
        <f t="shared" si="2"/>
        <v>2043</v>
      </c>
      <c r="C39" s="28">
        <v>13.76</v>
      </c>
      <c r="D39" s="28">
        <v>63.18</v>
      </c>
      <c r="F39">
        <f t="shared" si="3"/>
        <v>2043</v>
      </c>
      <c r="G39" s="28">
        <f t="shared" si="0"/>
        <v>23.956493076953233</v>
      </c>
      <c r="H39" s="28">
        <f t="shared" si="1"/>
        <v>109.99790934606871</v>
      </c>
    </row>
    <row r="40" spans="1:20" x14ac:dyDescent="0.35">
      <c r="B40">
        <f t="shared" si="2"/>
        <v>2044</v>
      </c>
      <c r="C40" s="28">
        <v>13.97</v>
      </c>
      <c r="D40" s="28">
        <v>64.08</v>
      </c>
      <c r="F40">
        <f t="shared" si="3"/>
        <v>2044</v>
      </c>
      <c r="G40" s="28">
        <f t="shared" si="0"/>
        <v>24.808550323454753</v>
      </c>
      <c r="H40" s="28">
        <f t="shared" si="1"/>
        <v>113.79612775425772</v>
      </c>
    </row>
    <row r="41" spans="1:20" x14ac:dyDescent="0.35">
      <c r="B41">
        <f t="shared" si="2"/>
        <v>2045</v>
      </c>
      <c r="C41" s="28">
        <v>14.17</v>
      </c>
      <c r="D41" s="28">
        <v>64.98</v>
      </c>
      <c r="F41">
        <f t="shared" si="3"/>
        <v>2045</v>
      </c>
      <c r="G41" s="28">
        <f t="shared" si="0"/>
        <v>25.666993646744519</v>
      </c>
      <c r="H41" s="28">
        <f t="shared" si="1"/>
        <v>117.70227573503591</v>
      </c>
    </row>
    <row r="42" spans="1:20" x14ac:dyDescent="0.35">
      <c r="B42">
        <f t="shared" si="2"/>
        <v>2046</v>
      </c>
      <c r="C42" s="28">
        <v>14.38</v>
      </c>
      <c r="D42" s="28">
        <v>65.88</v>
      </c>
      <c r="F42">
        <f t="shared" si="3"/>
        <v>2046</v>
      </c>
      <c r="G42" s="28">
        <f t="shared" si="0"/>
        <v>26.568327170994344</v>
      </c>
      <c r="H42" s="28">
        <f t="shared" si="1"/>
        <v>121.71915118394347</v>
      </c>
    </row>
    <row r="43" spans="1:20" x14ac:dyDescent="0.35">
      <c r="B43">
        <f t="shared" si="2"/>
        <v>2047</v>
      </c>
      <c r="C43" s="28">
        <v>14.58</v>
      </c>
      <c r="D43" s="28">
        <v>66.78</v>
      </c>
      <c r="F43">
        <f t="shared" si="3"/>
        <v>2047</v>
      </c>
      <c r="G43" s="28">
        <f t="shared" si="0"/>
        <v>27.476601832834458</v>
      </c>
      <c r="H43" s="28">
        <f t="shared" si="1"/>
        <v>125.84962074051339</v>
      </c>
    </row>
    <row r="44" spans="1:20" x14ac:dyDescent="0.35">
      <c r="B44">
        <f t="shared" si="2"/>
        <v>2048</v>
      </c>
      <c r="C44" s="28">
        <v>14.79</v>
      </c>
      <c r="D44" s="28">
        <v>67.680000000000007</v>
      </c>
      <c r="F44">
        <f t="shared" si="3"/>
        <v>2048</v>
      </c>
      <c r="G44" s="28">
        <f t="shared" si="0"/>
        <v>28.429802464319209</v>
      </c>
      <c r="H44" s="28">
        <f t="shared" si="1"/>
        <v>130.0966214188725</v>
      </c>
    </row>
    <row r="45" spans="1:20" x14ac:dyDescent="0.35">
      <c r="B45">
        <f t="shared" si="2"/>
        <v>2049</v>
      </c>
      <c r="C45" s="28">
        <v>14.99</v>
      </c>
      <c r="D45" s="28">
        <v>68.58</v>
      </c>
      <c r="F45">
        <f t="shared" si="3"/>
        <v>2049</v>
      </c>
      <c r="G45" s="28">
        <f t="shared" si="0"/>
        <v>29.390533720009998</v>
      </c>
      <c r="H45" s="28">
        <f t="shared" si="1"/>
        <v>134.46316227606974</v>
      </c>
    </row>
    <row r="46" spans="1:20" x14ac:dyDescent="0.35">
      <c r="B46">
        <f t="shared" si="2"/>
        <v>2050</v>
      </c>
      <c r="C46" s="28">
        <v>15.2</v>
      </c>
      <c r="D46" s="28">
        <v>69.48</v>
      </c>
      <c r="F46">
        <f t="shared" si="3"/>
        <v>2050</v>
      </c>
      <c r="G46" s="28">
        <f t="shared" si="0"/>
        <v>30.398321200469312</v>
      </c>
      <c r="H46" s="28">
        <f t="shared" si="1"/>
        <v>138.95232611898737</v>
      </c>
    </row>
    <row r="48" spans="1:20" x14ac:dyDescent="0.35">
      <c r="A48" s="273"/>
      <c r="B48" s="273"/>
      <c r="C48" s="273"/>
      <c r="D48" s="273"/>
      <c r="E48" s="273"/>
      <c r="F48" s="273"/>
      <c r="G48" s="273"/>
      <c r="H48" s="273"/>
      <c r="I48" s="273"/>
      <c r="J48" s="273"/>
      <c r="K48" s="273"/>
      <c r="L48" s="273"/>
      <c r="M48" s="273"/>
      <c r="N48" s="273"/>
      <c r="O48" s="273"/>
      <c r="P48" s="273"/>
      <c r="Q48" s="273"/>
      <c r="R48" s="273"/>
      <c r="S48" s="273"/>
      <c r="T48" s="273"/>
    </row>
    <row r="49" spans="1:2" ht="16.5" x14ac:dyDescent="0.35">
      <c r="A49" s="287">
        <v>1</v>
      </c>
      <c r="B49" s="246" t="s">
        <v>252</v>
      </c>
    </row>
    <row r="50" spans="1:2" ht="16.5" x14ac:dyDescent="0.35">
      <c r="A50" s="287">
        <v>2</v>
      </c>
      <c r="B50" s="246" t="s">
        <v>253</v>
      </c>
    </row>
    <row r="51" spans="1:2" ht="16.5" x14ac:dyDescent="0.35">
      <c r="A51" s="287">
        <v>3</v>
      </c>
      <c r="B51" s="246" t="s">
        <v>254</v>
      </c>
    </row>
  </sheetData>
  <pageMargins left="0.7" right="0.7" top="0.75" bottom="0.75" header="0.3" footer="0.3"/>
  <pageSetup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811B5-65B4-4D6C-A773-3E0F8A45BF8A}">
  <dimension ref="A1:G32"/>
  <sheetViews>
    <sheetView zoomScaleNormal="100" workbookViewId="0">
      <selection activeCell="F20" sqref="F20:I20"/>
    </sheetView>
  </sheetViews>
  <sheetFormatPr defaultRowHeight="14.5" x14ac:dyDescent="0.35"/>
  <cols>
    <col min="2" max="2" width="28.453125" customWidth="1"/>
    <col min="3" max="3" width="10.1796875" style="193" customWidth="1"/>
    <col min="7" max="7" width="10.26953125" customWidth="1"/>
    <col min="8" max="8" width="3.453125" customWidth="1"/>
  </cols>
  <sheetData>
    <row r="1" spans="1:7" ht="23.5" x14ac:dyDescent="0.55000000000000004">
      <c r="A1" s="237" t="s">
        <v>189</v>
      </c>
    </row>
    <row r="3" spans="1:7" ht="18.5" x14ac:dyDescent="0.45">
      <c r="A3" s="238" t="s">
        <v>255</v>
      </c>
    </row>
    <row r="4" spans="1:7" x14ac:dyDescent="0.35">
      <c r="A4" t="s">
        <v>256</v>
      </c>
    </row>
    <row r="6" spans="1:7" s="288" customFormat="1" ht="16.5" x14ac:dyDescent="0.35">
      <c r="B6" s="288" t="s">
        <v>257</v>
      </c>
      <c r="C6" s="289"/>
      <c r="D6" s="288" t="s">
        <v>258</v>
      </c>
      <c r="E6" s="288" t="s">
        <v>249</v>
      </c>
      <c r="F6" s="288" t="s">
        <v>248</v>
      </c>
      <c r="G6" s="288" t="s">
        <v>27</v>
      </c>
    </row>
    <row r="7" spans="1:7" s="288" customFormat="1" ht="31.5" customHeight="1" x14ac:dyDescent="0.35">
      <c r="A7" s="290" t="s">
        <v>259</v>
      </c>
      <c r="B7" s="291" t="s">
        <v>260</v>
      </c>
      <c r="C7" s="289">
        <v>2020</v>
      </c>
      <c r="D7" s="292">
        <f>'Avoided emissions'!$B$26*'Externality values'!G16</f>
        <v>14.424072408235372</v>
      </c>
      <c r="E7" s="292">
        <f>'Avoided emissions'!O38/2000*'Externality values'!L21</f>
        <v>27.992523744180772</v>
      </c>
      <c r="F7" s="292">
        <f>'Avoided emissions'!P38/2000*'Externality values'!N21</f>
        <v>7.7231481076740511</v>
      </c>
      <c r="G7" s="292">
        <f>SUM(D7:F7)</f>
        <v>50.139744260090197</v>
      </c>
    </row>
    <row r="8" spans="1:7" s="288" customFormat="1" x14ac:dyDescent="0.35">
      <c r="C8" s="289">
        <f t="shared" ref="C8:C17" si="0">C7+1</f>
        <v>2021</v>
      </c>
      <c r="D8" s="292">
        <f>'Avoided emissions'!$B$26*'Externality values'!G17</f>
        <v>15.037693168143727</v>
      </c>
      <c r="E8" s="292">
        <f>'Avoided emissions'!O39/2000*'Externality values'!L22</f>
        <v>28.77588547627558</v>
      </c>
      <c r="F8" s="292">
        <f>'Avoided emissions'!P39/2000*'Externality values'!N22</f>
        <v>7.8949499056378629</v>
      </c>
      <c r="G8" s="292">
        <f t="shared" ref="G8:G17" si="1">SUM(D8:F8)</f>
        <v>51.708528550057174</v>
      </c>
    </row>
    <row r="9" spans="1:7" s="288" customFormat="1" x14ac:dyDescent="0.35">
      <c r="B9" s="291"/>
      <c r="C9" s="289">
        <f t="shared" si="0"/>
        <v>2022</v>
      </c>
      <c r="D9" s="292">
        <f>'Avoided emissions'!$B$26*'Externality values'!G18</f>
        <v>15.686671234384047</v>
      </c>
      <c r="E9" s="292">
        <f>'Avoided emissions'!O40/2000*'Externality values'!L23</f>
        <v>29.374039645042064</v>
      </c>
      <c r="F9" s="292">
        <f>'Avoided emissions'!P40/2000*'Externality values'!N23</f>
        <v>8.0587441079261328</v>
      </c>
      <c r="G9" s="292">
        <f t="shared" si="1"/>
        <v>53.119454987352242</v>
      </c>
    </row>
    <row r="10" spans="1:7" s="288" customFormat="1" x14ac:dyDescent="0.35">
      <c r="B10" s="291"/>
      <c r="C10" s="289">
        <f t="shared" si="0"/>
        <v>2023</v>
      </c>
      <c r="D10" s="292">
        <f>'Avoided emissions'!$B$26*'Externality values'!G19</f>
        <v>16.338679599009819</v>
      </c>
      <c r="E10" s="292">
        <f>'Avoided emissions'!O41/2000*'Externality values'!L24</f>
        <v>29.705890137514587</v>
      </c>
      <c r="F10" s="292">
        <f>'Avoided emissions'!P41/2000*'Externality values'!N24</f>
        <v>8.1898534487895418</v>
      </c>
      <c r="G10" s="292">
        <f t="shared" si="1"/>
        <v>54.23442318531395</v>
      </c>
    </row>
    <row r="11" spans="1:7" s="288" customFormat="1" x14ac:dyDescent="0.35">
      <c r="B11" s="291"/>
      <c r="C11" s="289">
        <f t="shared" si="0"/>
        <v>2024</v>
      </c>
      <c r="D11" s="292">
        <f>'Avoided emissions'!$B$26*'Externality values'!G20</f>
        <v>17.027745651663711</v>
      </c>
      <c r="E11" s="292">
        <f>'Avoided emissions'!O42/2000*'Externality values'!L25</f>
        <v>31.099058782571444</v>
      </c>
      <c r="F11" s="292">
        <f>'Avoided emissions'!P42/2000*'Externality values'!N25</f>
        <v>8.4211175924315711</v>
      </c>
      <c r="G11" s="292">
        <f t="shared" si="1"/>
        <v>56.547922026666726</v>
      </c>
    </row>
    <row r="12" spans="1:7" s="288" customFormat="1" x14ac:dyDescent="0.35">
      <c r="B12" s="291"/>
      <c r="C12" s="289">
        <f t="shared" si="0"/>
        <v>2025</v>
      </c>
      <c r="D12" s="292">
        <f>'Avoided emissions'!$B$26*'Externality values'!G21</f>
        <v>17.720241812208577</v>
      </c>
      <c r="E12" s="292">
        <f>'Avoided emissions'!O43/2000*'Externality values'!L26</f>
        <v>32.25467134389968</v>
      </c>
      <c r="F12" s="292">
        <f>'Avoided emissions'!P43/2000*'Externality values'!N26</f>
        <v>8.6270761712763271</v>
      </c>
      <c r="G12" s="292">
        <f t="shared" si="1"/>
        <v>58.601989327384587</v>
      </c>
    </row>
    <row r="13" spans="1:7" s="288" customFormat="1" x14ac:dyDescent="0.35">
      <c r="B13" s="291"/>
      <c r="C13" s="289">
        <f t="shared" si="0"/>
        <v>2026</v>
      </c>
      <c r="D13" s="292">
        <f>'Avoided emissions'!$B$26*'Externality values'!G22</f>
        <v>18.451575724537658</v>
      </c>
      <c r="E13" s="292">
        <f>'Avoided emissions'!O44/2000*'Externality values'!L27</f>
        <v>33.020526754455929</v>
      </c>
      <c r="F13" s="292">
        <f>'Avoided emissions'!P44/2000*'Externality values'!N27</f>
        <v>8.8251423290592221</v>
      </c>
      <c r="G13" s="292">
        <f t="shared" si="1"/>
        <v>60.29724480805281</v>
      </c>
    </row>
    <row r="14" spans="1:7" s="288" customFormat="1" x14ac:dyDescent="0.35">
      <c r="B14" s="291"/>
      <c r="C14" s="289">
        <f t="shared" si="0"/>
        <v>2027</v>
      </c>
      <c r="D14" s="292">
        <f>'Avoided emissions'!$B$26*'Externality values'!G23</f>
        <v>19.186766912939472</v>
      </c>
      <c r="E14" s="292">
        <f>'Avoided emissions'!O45/2000*'Externality values'!L28</f>
        <v>34.280756811953857</v>
      </c>
      <c r="F14" s="292">
        <f>'Avoided emissions'!P45/2000*'Externality values'!N28</f>
        <v>8.9886276121181492</v>
      </c>
      <c r="G14" s="292">
        <f t="shared" si="1"/>
        <v>62.456151337011477</v>
      </c>
    </row>
    <row r="15" spans="1:7" s="288" customFormat="1" x14ac:dyDescent="0.35">
      <c r="B15" s="291"/>
      <c r="C15" s="289">
        <f t="shared" si="0"/>
        <v>2028</v>
      </c>
      <c r="D15" s="292">
        <f>'Avoided emissions'!$B$26*'Externality values'!G24</f>
        <v>19.962659261957004</v>
      </c>
      <c r="E15" s="292">
        <f>'Avoided emissions'!O46/2000*'Externality values'!L29</f>
        <v>35.975139852129765</v>
      </c>
      <c r="F15" s="292">
        <f>'Avoided emissions'!P46/2000*'Externality values'!N29</f>
        <v>9.2281507809276686</v>
      </c>
      <c r="G15" s="292">
        <f t="shared" si="1"/>
        <v>65.165949895014435</v>
      </c>
    </row>
    <row r="16" spans="1:7" s="288" customFormat="1" x14ac:dyDescent="0.35">
      <c r="B16" s="291"/>
      <c r="C16" s="289">
        <f t="shared" si="0"/>
        <v>2029</v>
      </c>
      <c r="D16" s="292">
        <f>'Avoided emissions'!$B$26*'Externality values'!G25</f>
        <v>20.742864971933216</v>
      </c>
      <c r="E16" s="292">
        <f>'Avoided emissions'!O47/2000*'Externality values'!L30</f>
        <v>36.77264917806162</v>
      </c>
      <c r="F16" s="292">
        <f>'Avoided emissions'!P47/2000*'Externality values'!N30</f>
        <v>9.4194855330904996</v>
      </c>
      <c r="G16" s="292">
        <f t="shared" si="1"/>
        <v>66.934999683085337</v>
      </c>
    </row>
    <row r="17" spans="1:7" s="288" customFormat="1" x14ac:dyDescent="0.35">
      <c r="B17" s="291"/>
      <c r="C17" s="289">
        <f t="shared" si="0"/>
        <v>2030</v>
      </c>
      <c r="D17" s="292">
        <f>'Avoided emissions'!$B$26*'Externality values'!G26</f>
        <v>21.565722425365269</v>
      </c>
      <c r="E17" s="292">
        <f>'Avoided emissions'!O48/2000*'Externality values'!L31</f>
        <v>37.508102161622858</v>
      </c>
      <c r="F17" s="292">
        <f>'Avoided emissions'!P48/2000*'Externality values'!N31</f>
        <v>9.6078752437523089</v>
      </c>
      <c r="G17" s="292">
        <f t="shared" si="1"/>
        <v>68.681699830740428</v>
      </c>
    </row>
    <row r="18" spans="1:7" s="288" customFormat="1" x14ac:dyDescent="0.35">
      <c r="B18" s="291"/>
      <c r="C18" s="293" t="s">
        <v>261</v>
      </c>
      <c r="D18" s="292"/>
      <c r="E18" s="292"/>
      <c r="F18" s="292"/>
      <c r="G18" s="294">
        <f>SUM(G7:G17)</f>
        <v>647.88810789076933</v>
      </c>
    </row>
    <row r="19" spans="1:7" s="288" customFormat="1" x14ac:dyDescent="0.35">
      <c r="B19" s="291"/>
      <c r="C19" s="289"/>
      <c r="D19" s="292"/>
      <c r="E19" s="292"/>
      <c r="F19" s="292"/>
      <c r="G19" s="292"/>
    </row>
    <row r="20" spans="1:7" s="288" customFormat="1" ht="33.75" customHeight="1" x14ac:dyDescent="0.35">
      <c r="A20" s="290" t="s">
        <v>262</v>
      </c>
      <c r="B20" s="291" t="s">
        <v>263</v>
      </c>
      <c r="C20" s="295">
        <f>C7</f>
        <v>2020</v>
      </c>
      <c r="D20" s="292">
        <f>'Avoided emissions'!$B$31*'Externality values'!H16</f>
        <v>244.42147435074187</v>
      </c>
      <c r="E20" s="292">
        <f>'Avoided emissions'!O38/2000*'Externality values'!M21</f>
        <v>80.052532577108281</v>
      </c>
      <c r="F20" s="292">
        <f>'Avoided emissions'!P38/2000*'Externality values'!O21</f>
        <v>19.292136935566194</v>
      </c>
      <c r="G20" s="292">
        <f>SUM(D20:F20)</f>
        <v>343.76614386341635</v>
      </c>
    </row>
    <row r="21" spans="1:7" s="288" customFormat="1" x14ac:dyDescent="0.35">
      <c r="B21" s="291"/>
      <c r="C21" s="295">
        <f t="shared" ref="C21:C30" si="2">C8</f>
        <v>2021</v>
      </c>
      <c r="D21" s="292">
        <f>'Avoided emissions'!$B$31*'Externality values'!H17</f>
        <v>254.59438130958853</v>
      </c>
      <c r="E21" s="292">
        <f>'Avoided emissions'!O39/2000*'Externality values'!M22</f>
        <v>82.292776834870708</v>
      </c>
      <c r="F21" s="292">
        <f>'Avoided emissions'!P39/2000*'Externality values'!O22</f>
        <v>19.721291441719064</v>
      </c>
      <c r="G21" s="292">
        <f t="shared" ref="G21:G30" si="3">SUM(D21:F21)</f>
        <v>356.60844958617832</v>
      </c>
    </row>
    <row r="22" spans="1:7" s="288" customFormat="1" x14ac:dyDescent="0.35">
      <c r="B22" s="291"/>
      <c r="C22" s="295">
        <f t="shared" si="2"/>
        <v>2022</v>
      </c>
      <c r="D22" s="292">
        <f>'Avoided emissions'!$B$31*'Externality values'!H18</f>
        <v>265.07643595704877</v>
      </c>
      <c r="E22" s="292">
        <f>'Avoided emissions'!O40/2000*'Externality values'!M23</f>
        <v>84.003367724027896</v>
      </c>
      <c r="F22" s="292">
        <f>'Avoided emissions'!P40/2000*'Externality values'!O23</f>
        <v>20.130443271483575</v>
      </c>
      <c r="G22" s="292">
        <f t="shared" si="3"/>
        <v>369.21024695256023</v>
      </c>
    </row>
    <row r="23" spans="1:7" s="288" customFormat="1" x14ac:dyDescent="0.35">
      <c r="C23" s="295">
        <f t="shared" si="2"/>
        <v>2023</v>
      </c>
      <c r="D23" s="292">
        <f>'Avoided emissions'!$B$31*'Externality values'!H19</f>
        <v>275.87593503788361</v>
      </c>
      <c r="E23" s="292">
        <f>'Avoided emissions'!O41/2000*'Externality values'!M24</f>
        <v>84.952387991087917</v>
      </c>
      <c r="F23" s="292">
        <f>'Avoided emissions'!P41/2000*'Externality values'!O24</f>
        <v>20.4579495321696</v>
      </c>
      <c r="G23" s="292">
        <f t="shared" si="3"/>
        <v>381.28627256114112</v>
      </c>
    </row>
    <row r="24" spans="1:7" s="288" customFormat="1" x14ac:dyDescent="0.35">
      <c r="C24" s="295">
        <f t="shared" si="2"/>
        <v>2024</v>
      </c>
      <c r="D24" s="292">
        <f>'Avoided emissions'!$B$31*'Externality values'!H20</f>
        <v>287.00138350756907</v>
      </c>
      <c r="E24" s="292">
        <f>'Avoided emissions'!O42/2000*'Externality values'!M25</f>
        <v>88.936547453201598</v>
      </c>
      <c r="F24" s="292">
        <f>'Avoided emissions'!P42/2000*'Externality values'!O25</f>
        <v>21.035638767857737</v>
      </c>
      <c r="G24" s="292">
        <f t="shared" si="3"/>
        <v>396.97356972862843</v>
      </c>
    </row>
    <row r="25" spans="1:7" s="288" customFormat="1" x14ac:dyDescent="0.35">
      <c r="C25" s="295">
        <f t="shared" si="2"/>
        <v>2025</v>
      </c>
      <c r="D25" s="292">
        <f>'Avoided emissions'!$B$31*'Externality values'!H21</f>
        <v>298.46149954202679</v>
      </c>
      <c r="E25" s="292">
        <f>'Avoided emissions'!O43/2000*'Externality values'!M26</f>
        <v>92.241348158478331</v>
      </c>
      <c r="F25" s="292">
        <f>'Avoided emissions'!P43/2000*'Externality values'!O26</f>
        <v>21.550115643185237</v>
      </c>
      <c r="G25" s="292">
        <f t="shared" si="3"/>
        <v>412.25296334369034</v>
      </c>
    </row>
    <row r="26" spans="1:7" s="288" customFormat="1" x14ac:dyDescent="0.35">
      <c r="C26" s="295">
        <f t="shared" si="2"/>
        <v>2026</v>
      </c>
      <c r="D26" s="292">
        <f>'Avoided emissions'!$B$31*'Externality values'!H22</f>
        <v>310.26521966445966</v>
      </c>
      <c r="E26" s="292">
        <f>'Avoided emissions'!O44/2000*'Externality values'!M27</f>
        <v>94.431528142362566</v>
      </c>
      <c r="F26" s="292">
        <f>'Avoided emissions'!P44/2000*'Externality values'!O27</f>
        <v>22.044877544028783</v>
      </c>
      <c r="G26" s="292">
        <f t="shared" si="3"/>
        <v>426.74162535085105</v>
      </c>
    </row>
    <row r="27" spans="1:7" s="288" customFormat="1" x14ac:dyDescent="0.35">
      <c r="C27" s="295">
        <f t="shared" si="2"/>
        <v>2027</v>
      </c>
      <c r="D27" s="292">
        <f>'Avoided emissions'!$B$31*'Externality values'!H23</f>
        <v>322.48782821346458</v>
      </c>
      <c r="E27" s="292">
        <f>'Avoided emissions'!O45/2000*'Externality values'!M28</f>
        <v>98.035512143750651</v>
      </c>
      <c r="F27" s="292">
        <f>'Avoided emissions'!P45/2000*'Externality values'!O28</f>
        <v>22.45325770503964</v>
      </c>
      <c r="G27" s="292">
        <f t="shared" si="3"/>
        <v>442.97659806225488</v>
      </c>
    </row>
    <row r="28" spans="1:7" s="288" customFormat="1" x14ac:dyDescent="0.35">
      <c r="C28" s="295">
        <f t="shared" si="2"/>
        <v>2028</v>
      </c>
      <c r="D28" s="292">
        <f>'Avoided emissions'!$B$31*'Externality values'!H24</f>
        <v>335.00778831064264</v>
      </c>
      <c r="E28" s="292">
        <f>'Avoided emissions'!O46/2000*'Externality values'!M29</f>
        <v>102.88107929451458</v>
      </c>
      <c r="F28" s="292">
        <f>'Avoided emissions'!P46/2000*'Externality values'!O29</f>
        <v>23.051577678642435</v>
      </c>
      <c r="G28" s="292">
        <f t="shared" si="3"/>
        <v>460.94044528379965</v>
      </c>
    </row>
    <row r="29" spans="1:7" s="288" customFormat="1" x14ac:dyDescent="0.35">
      <c r="C29" s="295">
        <f>C16</f>
        <v>2029</v>
      </c>
      <c r="D29" s="292">
        <f>'Avoided emissions'!$B$31*'Externality values'!H25</f>
        <v>347.89955168042241</v>
      </c>
      <c r="E29" s="292">
        <f>'Avoided emissions'!O47/2000*'Externality values'!M30</f>
        <v>105.16178259508709</v>
      </c>
      <c r="F29" s="292">
        <f>'Avoided emissions'!P47/2000*'Externality values'!O30</f>
        <v>23.529524778425504</v>
      </c>
      <c r="G29" s="292">
        <f t="shared" si="3"/>
        <v>476.59085905393499</v>
      </c>
    </row>
    <row r="30" spans="1:7" s="288" customFormat="1" x14ac:dyDescent="0.35">
      <c r="C30" s="295">
        <f t="shared" si="2"/>
        <v>2030</v>
      </c>
      <c r="D30" s="292">
        <f>'Avoided emissions'!$B$31*'Externality values'!H26</f>
        <v>361.17298246966908</v>
      </c>
      <c r="E30" s="292">
        <f>'Avoided emissions'!O48/2000*'Externality values'!M31</f>
        <v>107.26501824698884</v>
      </c>
      <c r="F30" s="292">
        <f>'Avoided emissions'!P48/2000*'Externality values'!O31</f>
        <v>24.00011527399402</v>
      </c>
      <c r="G30" s="292">
        <f t="shared" si="3"/>
        <v>492.43811599065197</v>
      </c>
    </row>
    <row r="31" spans="1:7" s="288" customFormat="1" x14ac:dyDescent="0.35">
      <c r="C31" s="293" t="s">
        <v>261</v>
      </c>
      <c r="D31" s="292"/>
      <c r="E31" s="292"/>
      <c r="F31" s="292"/>
      <c r="G31" s="294">
        <f>SUM(G20:G30)</f>
        <v>4559.7852897771072</v>
      </c>
    </row>
    <row r="32" spans="1:7" s="288" customFormat="1" x14ac:dyDescent="0.35">
      <c r="C32" s="289"/>
    </row>
  </sheetData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81962-C52D-434C-9F3A-C7B942412C51}">
  <sheetPr>
    <pageSetUpPr fitToPage="1"/>
  </sheetPr>
  <dimension ref="A1:H29"/>
  <sheetViews>
    <sheetView zoomScale="120" zoomScaleNormal="120" workbookViewId="0">
      <selection activeCell="D4" sqref="D4"/>
    </sheetView>
  </sheetViews>
  <sheetFormatPr defaultRowHeight="14.5" x14ac:dyDescent="0.35"/>
  <cols>
    <col min="1" max="1" width="2.81640625" customWidth="1"/>
    <col min="2" max="2" width="39.7265625" customWidth="1"/>
    <col min="3" max="3" width="19.453125" style="193" customWidth="1"/>
    <col min="4" max="4" width="16.7265625" customWidth="1"/>
    <col min="5" max="5" width="2.81640625" customWidth="1"/>
    <col min="6" max="6" width="85.1796875" customWidth="1"/>
  </cols>
  <sheetData>
    <row r="1" spans="2:6" ht="21" x14ac:dyDescent="0.5">
      <c r="B1" s="296" t="s">
        <v>264</v>
      </c>
    </row>
    <row r="3" spans="2:6" x14ac:dyDescent="0.35">
      <c r="B3" s="48" t="s">
        <v>265</v>
      </c>
      <c r="C3" s="297"/>
      <c r="D3" s="298"/>
    </row>
    <row r="4" spans="2:6" ht="16.5" x14ac:dyDescent="0.35">
      <c r="B4" t="s">
        <v>266</v>
      </c>
      <c r="C4" s="193" t="s">
        <v>267</v>
      </c>
      <c r="D4" s="132">
        <f>'Participant Assump'!B5</f>
        <v>12933.17</v>
      </c>
      <c r="E4" s="241">
        <v>1</v>
      </c>
    </row>
    <row r="5" spans="2:6" ht="33" customHeight="1" x14ac:dyDescent="0.35">
      <c r="B5" t="s">
        <v>268</v>
      </c>
      <c r="C5" s="193" t="s">
        <v>269</v>
      </c>
      <c r="D5" s="132">
        <f>'Participant Assump'!B4</f>
        <v>24.2</v>
      </c>
      <c r="E5" s="241">
        <v>2</v>
      </c>
      <c r="F5" s="299"/>
    </row>
    <row r="6" spans="2:6" ht="16.5" x14ac:dyDescent="0.35">
      <c r="B6" s="273" t="s">
        <v>270</v>
      </c>
      <c r="C6" s="297" t="s">
        <v>271</v>
      </c>
      <c r="D6" s="300">
        <f>'Participant Assump'!B9</f>
        <v>3.3260000000000001</v>
      </c>
      <c r="E6" s="241">
        <v>3</v>
      </c>
    </row>
    <row r="7" spans="2:6" ht="17" thickBot="1" x14ac:dyDescent="0.4">
      <c r="B7" s="301" t="s">
        <v>272</v>
      </c>
      <c r="C7" s="302" t="s">
        <v>273</v>
      </c>
      <c r="D7" s="303">
        <f>(D4/D5)*D6</f>
        <v>1777.5092322314051</v>
      </c>
      <c r="E7" s="241"/>
    </row>
    <row r="8" spans="2:6" ht="17" thickTop="1" x14ac:dyDescent="0.35">
      <c r="B8" t="s">
        <v>266</v>
      </c>
      <c r="C8" s="193" t="s">
        <v>274</v>
      </c>
      <c r="D8" s="46">
        <f>'Participant Assump'!B5</f>
        <v>12933.17</v>
      </c>
      <c r="E8" s="241">
        <v>4</v>
      </c>
      <c r="F8" s="299"/>
    </row>
    <row r="9" spans="2:6" ht="16.5" x14ac:dyDescent="0.35">
      <c r="B9" s="273" t="s">
        <v>275</v>
      </c>
      <c r="C9" s="297" t="s">
        <v>276</v>
      </c>
      <c r="D9" s="300">
        <f>'Participant Assump'!B10</f>
        <v>0.15060000000000001</v>
      </c>
      <c r="E9" s="241">
        <v>5</v>
      </c>
      <c r="F9" s="299"/>
    </row>
    <row r="10" spans="2:6" ht="17" thickBot="1" x14ac:dyDescent="0.4">
      <c r="B10" s="301" t="s">
        <v>277</v>
      </c>
      <c r="C10" s="302" t="s">
        <v>278</v>
      </c>
      <c r="D10" s="303">
        <f>D8*D9</f>
        <v>1947.7354020000002</v>
      </c>
      <c r="E10" s="241"/>
      <c r="F10" s="299"/>
    </row>
    <row r="11" spans="2:6" ht="17" thickTop="1" x14ac:dyDescent="0.35">
      <c r="B11" s="2" t="s">
        <v>279</v>
      </c>
      <c r="C11" s="3" t="s">
        <v>280</v>
      </c>
      <c r="D11" s="304">
        <f>SUM(D7,D10)</f>
        <v>3725.2446342314051</v>
      </c>
      <c r="E11" s="241"/>
      <c r="F11" s="299"/>
    </row>
    <row r="12" spans="2:6" ht="7.5" customHeight="1" x14ac:dyDescent="0.35">
      <c r="E12" s="241"/>
      <c r="F12" s="299"/>
    </row>
    <row r="13" spans="2:6" ht="16.5" x14ac:dyDescent="0.35">
      <c r="B13" s="48" t="s">
        <v>281</v>
      </c>
      <c r="C13" s="297"/>
      <c r="D13" s="273"/>
      <c r="E13" s="241"/>
    </row>
    <row r="14" spans="2:6" ht="17" thickBot="1" x14ac:dyDescent="0.4">
      <c r="B14" s="301" t="s">
        <v>282</v>
      </c>
      <c r="C14" s="302" t="s">
        <v>283</v>
      </c>
      <c r="D14" s="305">
        <f>'Participant Assump'!B12</f>
        <v>452.4489666812168</v>
      </c>
      <c r="E14" s="241"/>
    </row>
    <row r="15" spans="2:6" ht="17" thickTop="1" x14ac:dyDescent="0.35">
      <c r="B15" t="s">
        <v>266</v>
      </c>
      <c r="C15" s="193" t="s">
        <v>284</v>
      </c>
      <c r="D15" s="46">
        <f>'Participant Assump'!B5</f>
        <v>12933.17</v>
      </c>
      <c r="E15" s="241">
        <v>6</v>
      </c>
    </row>
    <row r="16" spans="2:6" ht="16.5" x14ac:dyDescent="0.35">
      <c r="B16" s="273" t="s">
        <v>285</v>
      </c>
      <c r="C16" s="297" t="s">
        <v>286</v>
      </c>
      <c r="D16" s="300">
        <f>'Participant Assump'!B11</f>
        <v>9.1899999999999996E-2</v>
      </c>
      <c r="E16" s="241">
        <v>7</v>
      </c>
    </row>
    <row r="17" spans="1:8" ht="15" thickBot="1" x14ac:dyDescent="0.4">
      <c r="B17" s="306" t="s">
        <v>287</v>
      </c>
      <c r="C17" s="307" t="s">
        <v>288</v>
      </c>
      <c r="D17" s="308">
        <f>D15*D16</f>
        <v>1188.558323</v>
      </c>
    </row>
    <row r="18" spans="1:8" ht="15" thickTop="1" x14ac:dyDescent="0.35">
      <c r="B18" s="2" t="s">
        <v>289</v>
      </c>
      <c r="C18" s="3" t="s">
        <v>290</v>
      </c>
      <c r="D18" s="304">
        <f>SUM(D14,D17)</f>
        <v>1641.0072896812167</v>
      </c>
    </row>
    <row r="19" spans="1:8" ht="7.5" customHeight="1" x14ac:dyDescent="0.35">
      <c r="B19" s="2"/>
      <c r="C19" s="3"/>
      <c r="D19" s="304"/>
    </row>
    <row r="20" spans="1:8" x14ac:dyDescent="0.35">
      <c r="B20" s="309" t="s">
        <v>291</v>
      </c>
      <c r="C20" s="310" t="s">
        <v>292</v>
      </c>
      <c r="D20" s="311">
        <f>D11-D18</f>
        <v>2084.2373445501885</v>
      </c>
    </row>
    <row r="22" spans="1:8" x14ac:dyDescent="0.35">
      <c r="A22" s="273"/>
      <c r="B22" s="273"/>
      <c r="C22" s="297"/>
      <c r="D22" s="273"/>
      <c r="E22" s="273"/>
      <c r="F22" s="273"/>
      <c r="G22" s="273"/>
      <c r="H22" s="273"/>
    </row>
    <row r="23" spans="1:8" ht="16.5" x14ac:dyDescent="0.35">
      <c r="A23" s="287">
        <v>1</v>
      </c>
      <c r="B23" s="312" t="s">
        <v>293</v>
      </c>
    </row>
    <row r="24" spans="1:8" ht="16.5" x14ac:dyDescent="0.35">
      <c r="A24" s="287">
        <v>2</v>
      </c>
      <c r="B24" s="312" t="s">
        <v>294</v>
      </c>
    </row>
    <row r="25" spans="1:8" ht="16.5" x14ac:dyDescent="0.35">
      <c r="A25" s="287">
        <v>3</v>
      </c>
      <c r="B25" s="312" t="s">
        <v>295</v>
      </c>
    </row>
    <row r="26" spans="1:8" ht="16.5" x14ac:dyDescent="0.35">
      <c r="A26" s="287">
        <v>4</v>
      </c>
      <c r="B26" s="312" t="s">
        <v>296</v>
      </c>
    </row>
    <row r="27" spans="1:8" ht="16.5" x14ac:dyDescent="0.35">
      <c r="A27" s="287">
        <v>5</v>
      </c>
      <c r="B27" s="312" t="s">
        <v>297</v>
      </c>
    </row>
    <row r="28" spans="1:8" ht="16.5" x14ac:dyDescent="0.35">
      <c r="A28" s="287">
        <v>6</v>
      </c>
      <c r="B28" s="312" t="s">
        <v>296</v>
      </c>
    </row>
    <row r="29" spans="1:8" ht="16.5" x14ac:dyDescent="0.35">
      <c r="A29" s="287">
        <v>7</v>
      </c>
      <c r="B29" s="312" t="s">
        <v>297</v>
      </c>
    </row>
  </sheetData>
  <pageMargins left="0.7" right="0.7" top="0.75" bottom="0.75" header="0.3" footer="0.3"/>
  <pageSetup scale="5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2826F-53E5-4928-80EE-88F57642BEDB}">
  <sheetPr>
    <tabColor theme="9" tint="0.79998168889431442"/>
    <pageSetUpPr fitToPage="1"/>
  </sheetPr>
  <dimension ref="A1:AQ68"/>
  <sheetViews>
    <sheetView view="pageLayout" topLeftCell="A36" zoomScaleNormal="120" workbookViewId="0">
      <selection activeCell="AI9" sqref="AI9"/>
    </sheetView>
  </sheetViews>
  <sheetFormatPr defaultColWidth="9.1796875" defaultRowHeight="14.5" x14ac:dyDescent="0.35"/>
  <cols>
    <col min="1" max="1" width="0.7265625" customWidth="1"/>
    <col min="2" max="2" width="31.26953125" hidden="1" customWidth="1"/>
    <col min="3" max="3" width="8.984375E-2" hidden="1" customWidth="1"/>
    <col min="4" max="4" width="0.1796875" hidden="1" customWidth="1"/>
    <col min="5" max="5" width="16.7265625" hidden="1" customWidth="1"/>
    <col min="6" max="6" width="8.984375E-2" hidden="1" customWidth="1"/>
    <col min="7" max="7" width="15.26953125" hidden="1" customWidth="1"/>
    <col min="8" max="8" width="12" hidden="1" customWidth="1"/>
    <col min="9" max="9" width="8.984375E-2" customWidth="1"/>
    <col min="10" max="10" width="8.7265625" style="342" hidden="1" customWidth="1"/>
    <col min="11" max="32" width="8.7265625" hidden="1" customWidth="1"/>
    <col min="33" max="33" width="8.7265625" style="342" hidden="1" customWidth="1"/>
    <col min="34" max="34" width="8.7265625" hidden="1" customWidth="1"/>
    <col min="35" max="35" width="68.26953125" bestFit="1" customWidth="1"/>
    <col min="36" max="36" width="14" customWidth="1"/>
    <col min="37" max="38" width="14" bestFit="1" customWidth="1"/>
    <col min="39" max="39" width="15" bestFit="1" customWidth="1"/>
    <col min="40" max="40" width="14" bestFit="1" customWidth="1"/>
    <col min="41" max="41" width="9.1796875" customWidth="1"/>
    <col min="42" max="42" width="45" customWidth="1"/>
    <col min="43" max="43" width="24.1796875" customWidth="1"/>
  </cols>
  <sheetData>
    <row r="1" spans="1:43" ht="31.5" customHeight="1" x14ac:dyDescent="0.35">
      <c r="B1" s="344" t="s">
        <v>298</v>
      </c>
      <c r="C1" s="316"/>
      <c r="D1" s="316"/>
      <c r="E1" s="316"/>
      <c r="F1" s="316"/>
      <c r="G1" s="316"/>
      <c r="J1" s="341"/>
      <c r="K1" s="531" t="s">
        <v>299</v>
      </c>
      <c r="L1" s="531"/>
      <c r="M1" t="s">
        <v>300</v>
      </c>
      <c r="N1" t="s">
        <v>301</v>
      </c>
      <c r="O1" t="s">
        <v>302</v>
      </c>
      <c r="P1" t="s">
        <v>303</v>
      </c>
      <c r="Q1" t="s">
        <v>304</v>
      </c>
      <c r="R1" t="s">
        <v>305</v>
      </c>
      <c r="S1" t="s">
        <v>306</v>
      </c>
      <c r="T1" t="s">
        <v>307</v>
      </c>
      <c r="U1" t="s">
        <v>308</v>
      </c>
      <c r="V1" t="s">
        <v>309</v>
      </c>
      <c r="W1" t="s">
        <v>310</v>
      </c>
      <c r="X1" t="s">
        <v>311</v>
      </c>
      <c r="Y1" t="s">
        <v>312</v>
      </c>
      <c r="Z1" t="s">
        <v>313</v>
      </c>
      <c r="AA1" t="s">
        <v>314</v>
      </c>
      <c r="AB1" t="s">
        <v>315</v>
      </c>
      <c r="AC1" t="s">
        <v>316</v>
      </c>
      <c r="AD1" t="s">
        <v>317</v>
      </c>
      <c r="AE1" t="s">
        <v>318</v>
      </c>
      <c r="AF1" t="s">
        <v>319</v>
      </c>
    </row>
    <row r="2" spans="1:43" s="485" customFormat="1" ht="30.5" customHeight="1" x14ac:dyDescent="0.35">
      <c r="B2" s="486" t="s">
        <v>320</v>
      </c>
      <c r="C2" s="486" t="s">
        <v>321</v>
      </c>
      <c r="D2" s="486" t="s">
        <v>322</v>
      </c>
      <c r="E2" s="486" t="s">
        <v>323</v>
      </c>
      <c r="F2" s="486" t="s">
        <v>324</v>
      </c>
      <c r="G2" s="486" t="s">
        <v>325</v>
      </c>
      <c r="H2" s="486" t="s">
        <v>326</v>
      </c>
      <c r="I2" s="486" t="s">
        <v>327</v>
      </c>
      <c r="J2" s="487"/>
      <c r="L2" s="485">
        <v>1</v>
      </c>
      <c r="M2" s="488">
        <v>3.4154399999999998</v>
      </c>
      <c r="N2" s="488">
        <v>0.45121521102664958</v>
      </c>
      <c r="O2" s="488">
        <v>4.20831</v>
      </c>
      <c r="P2" s="488">
        <v>0.51686405403975388</v>
      </c>
      <c r="Q2" s="488">
        <v>0.45121521102664958</v>
      </c>
      <c r="R2" s="488">
        <v>11.36</v>
      </c>
      <c r="S2" s="488">
        <v>11.36</v>
      </c>
      <c r="T2" s="488">
        <v>104.107</v>
      </c>
      <c r="U2" s="488">
        <v>104.107</v>
      </c>
      <c r="V2" s="488">
        <v>3.1834926152952595E-2</v>
      </c>
      <c r="W2" s="488">
        <v>3.1834926152952595E-2</v>
      </c>
      <c r="X2" s="488">
        <v>1.3716964280597042E-2</v>
      </c>
      <c r="Y2" s="488">
        <v>0.14701659233611331</v>
      </c>
      <c r="Z2" s="488">
        <v>0.14701659233611331</v>
      </c>
      <c r="AA2" s="489">
        <v>0.59561286498467392</v>
      </c>
      <c r="AB2" s="489">
        <v>19.592497222173233</v>
      </c>
      <c r="AC2" s="488">
        <v>120286</v>
      </c>
      <c r="AD2" s="489">
        <v>22.44</v>
      </c>
      <c r="AE2" s="490"/>
      <c r="AF2" s="491">
        <v>3.3000000000000002E-2</v>
      </c>
      <c r="AG2" s="492"/>
      <c r="AI2" s="532" t="s">
        <v>328</v>
      </c>
      <c r="AJ2" s="533"/>
      <c r="AK2" s="534"/>
      <c r="AL2" s="535" t="s">
        <v>329</v>
      </c>
      <c r="AM2" s="536"/>
      <c r="AN2" s="536"/>
      <c r="AO2" s="537"/>
      <c r="AP2" s="477">
        <v>2024</v>
      </c>
      <c r="AQ2" s="478" t="s">
        <v>330</v>
      </c>
    </row>
    <row r="3" spans="1:43" s="479" customFormat="1" x14ac:dyDescent="0.35">
      <c r="A3" s="479" t="s">
        <v>331</v>
      </c>
      <c r="B3" s="493">
        <v>10</v>
      </c>
      <c r="C3" s="494">
        <f>-1*'Participant Assump'!B6</f>
        <v>-3801.8922750851671</v>
      </c>
      <c r="D3" s="495">
        <f>C3/8760*'Participant Assump'!B8</f>
        <v>-0.53402916391465605</v>
      </c>
      <c r="E3" s="516">
        <f>'Participant Assump'!B5/'Participant Assump'!B4</f>
        <v>534.42851239669426</v>
      </c>
      <c r="F3" s="493">
        <v>0</v>
      </c>
      <c r="G3" s="496">
        <f>'Participant Assump'!B5*('Participant Assump'!B10-'Participant Assump'!B11)</f>
        <v>759.17707900000016</v>
      </c>
      <c r="H3" s="496">
        <v>0</v>
      </c>
      <c r="I3" s="496">
        <f>'Participant Assump'!B13</f>
        <v>17000</v>
      </c>
      <c r="J3" s="497"/>
      <c r="L3" s="479">
        <v>2</v>
      </c>
      <c r="M3" s="480">
        <v>6.776325537270087</v>
      </c>
      <c r="N3" s="480">
        <v>0.89655096589269756</v>
      </c>
      <c r="O3" s="480">
        <v>8.3494011084220716</v>
      </c>
      <c r="P3" s="480">
        <v>1.0269932297499336</v>
      </c>
      <c r="Q3" s="480">
        <v>0.89655096589269756</v>
      </c>
      <c r="R3" s="480">
        <v>22.393854174181115</v>
      </c>
      <c r="S3" s="480">
        <v>22.616026649324361</v>
      </c>
      <c r="T3" s="480">
        <v>204.52905873979881</v>
      </c>
      <c r="U3" s="480">
        <v>206.55110987415296</v>
      </c>
      <c r="V3" s="480">
        <v>7.4632465547567306E-2</v>
      </c>
      <c r="W3" s="480">
        <v>7.5573269626417416E-2</v>
      </c>
      <c r="X3" s="480">
        <v>2.2643013625823282E-2</v>
      </c>
      <c r="Y3" s="480">
        <v>0.2885668980384628</v>
      </c>
      <c r="Z3" s="480">
        <v>0.29167855134496123</v>
      </c>
      <c r="AA3" s="481">
        <v>0.98831341752380109</v>
      </c>
      <c r="AB3" s="480"/>
      <c r="AC3" s="480"/>
      <c r="AD3" s="480"/>
      <c r="AG3" s="497"/>
      <c r="AI3" s="538" t="s">
        <v>332</v>
      </c>
      <c r="AJ3" s="538"/>
      <c r="AK3" s="538"/>
      <c r="AL3" s="538"/>
      <c r="AM3" s="538"/>
      <c r="AN3" s="538"/>
      <c r="AO3" s="538"/>
      <c r="AP3" s="538"/>
      <c r="AQ3" s="538"/>
    </row>
    <row r="4" spans="1:43" s="479" customFormat="1" x14ac:dyDescent="0.35">
      <c r="A4" s="479" t="s">
        <v>333</v>
      </c>
      <c r="B4" s="493">
        <v>10</v>
      </c>
      <c r="C4" s="494">
        <f>-1*'Participant Assump'!B16</f>
        <v>-7500</v>
      </c>
      <c r="D4" s="495">
        <f>C4/8760*'Participant Assump'!B17</f>
        <v>-1.0534803302048317</v>
      </c>
      <c r="E4" s="493">
        <v>0</v>
      </c>
      <c r="F4" s="493">
        <f>'Participant Assump'!B15/'Participant Assump'!B14</f>
        <v>2500</v>
      </c>
      <c r="G4" s="496">
        <f>'Participant Assump'!B15*('Participant Assump'!B20-'Participant Assump'!B21)</f>
        <v>5834.9999999999982</v>
      </c>
      <c r="H4" s="496">
        <v>0</v>
      </c>
      <c r="I4" s="496">
        <f>'Participant Assump'!B22</f>
        <v>250000</v>
      </c>
      <c r="J4" s="497"/>
      <c r="L4" s="479">
        <v>3</v>
      </c>
      <c r="M4" s="480">
        <v>10.083528004486974</v>
      </c>
      <c r="N4" s="480">
        <v>1.3359224321214804</v>
      </c>
      <c r="O4" s="480">
        <v>12.424347005528594</v>
      </c>
      <c r="P4" s="480">
        <v>1.5302903520869438</v>
      </c>
      <c r="Q4" s="480">
        <v>1.3359224321214804</v>
      </c>
      <c r="R4" s="480">
        <v>33.11149806551893</v>
      </c>
      <c r="S4" s="480">
        <v>33.769626725073067</v>
      </c>
      <c r="T4" s="480">
        <v>301.396607334414</v>
      </c>
      <c r="U4" s="480">
        <v>307.35889079097433</v>
      </c>
      <c r="V4" s="480">
        <v>0.11583551361583501</v>
      </c>
      <c r="W4" s="480">
        <v>0.11860773437201372</v>
      </c>
      <c r="X4" s="480">
        <v>3.1090204228881542E-2</v>
      </c>
      <c r="Y4" s="480">
        <v>0.42599475697763511</v>
      </c>
      <c r="Z4" s="480">
        <v>0.43521488246254492</v>
      </c>
      <c r="AA4" s="481">
        <v>1.3649914022052401</v>
      </c>
      <c r="AB4" s="480"/>
      <c r="AC4" s="480"/>
      <c r="AD4" s="480"/>
      <c r="AG4" s="497"/>
      <c r="AI4" s="418"/>
      <c r="AJ4" s="314"/>
      <c r="AK4" s="315"/>
      <c r="AL4" s="315" t="s">
        <v>334</v>
      </c>
      <c r="AM4" s="315"/>
      <c r="AN4" s="315"/>
      <c r="AO4" s="419"/>
      <c r="AP4" s="419"/>
      <c r="AQ4" s="419"/>
    </row>
    <row r="5" spans="1:43" s="479" customFormat="1" x14ac:dyDescent="0.35">
      <c r="B5" s="530"/>
      <c r="C5" s="530"/>
      <c r="D5" s="530"/>
      <c r="E5" s="530"/>
      <c r="F5" s="530"/>
      <c r="J5" s="497"/>
      <c r="L5" s="479">
        <v>4</v>
      </c>
      <c r="M5" s="480">
        <v>13.337904875664094</v>
      </c>
      <c r="N5" s="480">
        <v>1.7693450682463212</v>
      </c>
      <c r="O5" s="480">
        <v>16.434204221800403</v>
      </c>
      <c r="P5" s="480">
        <v>2.0267731286989479</v>
      </c>
      <c r="Q5" s="480">
        <v>1.7693450682463212</v>
      </c>
      <c r="R5" s="480">
        <v>43.521993688192481</v>
      </c>
      <c r="S5" s="480">
        <v>44.82173227931932</v>
      </c>
      <c r="T5" s="480">
        <v>394.83546019684172</v>
      </c>
      <c r="U5" s="480">
        <v>406.55647966023758</v>
      </c>
      <c r="V5" s="480">
        <v>0.15457948752349962</v>
      </c>
      <c r="W5" s="480">
        <v>0.15996337518389842</v>
      </c>
      <c r="X5" s="480">
        <v>3.9180207543949713E-2</v>
      </c>
      <c r="Y5" s="480">
        <v>0.55908139769149345</v>
      </c>
      <c r="Z5" s="480">
        <v>0.57727267249047653</v>
      </c>
      <c r="AA5" s="481">
        <v>1.7306930390532769</v>
      </c>
      <c r="AB5" s="480"/>
      <c r="AC5" s="480"/>
      <c r="AD5" s="480"/>
      <c r="AG5" s="497"/>
      <c r="AI5" s="418"/>
      <c r="AJ5" s="315" t="s">
        <v>335</v>
      </c>
      <c r="AK5" s="315" t="s">
        <v>336</v>
      </c>
      <c r="AL5" s="315" t="s">
        <v>337</v>
      </c>
      <c r="AM5" s="315" t="s">
        <v>338</v>
      </c>
      <c r="AN5" s="315" t="s">
        <v>339</v>
      </c>
      <c r="AO5" s="419"/>
    </row>
    <row r="6" spans="1:43" s="479" customFormat="1" x14ac:dyDescent="0.35">
      <c r="B6" s="498"/>
      <c r="C6" s="498"/>
      <c r="D6" s="498"/>
      <c r="E6" s="498"/>
      <c r="F6" s="498"/>
      <c r="J6" s="497"/>
      <c r="L6" s="479">
        <v>5</v>
      </c>
      <c r="M6" s="480">
        <v>16.540299928472944</v>
      </c>
      <c r="N6" s="480">
        <v>2.1966645294373288</v>
      </c>
      <c r="O6" s="480">
        <v>20.380012411868453</v>
      </c>
      <c r="P6" s="480">
        <v>2.516264758599303</v>
      </c>
      <c r="Q6" s="480">
        <v>2.1966645294373288</v>
      </c>
      <c r="R6" s="480">
        <v>53.634143355462029</v>
      </c>
      <c r="S6" s="480">
        <v>55.773266882733132</v>
      </c>
      <c r="T6" s="480">
        <v>484.96697844950614</v>
      </c>
      <c r="U6" s="480">
        <v>504.16959590961426</v>
      </c>
      <c r="V6" s="480">
        <v>0.19036956197256186</v>
      </c>
      <c r="W6" s="480">
        <v>0.19900579466213167</v>
      </c>
      <c r="X6" s="480">
        <v>4.6675228530144018E-2</v>
      </c>
      <c r="Y6" s="480">
        <v>0.68707661522251506</v>
      </c>
      <c r="Z6" s="480">
        <v>0.71689917651371127</v>
      </c>
      <c r="AA6" s="481">
        <v>2.0743379960202688</v>
      </c>
      <c r="AB6" s="480"/>
      <c r="AC6" s="480"/>
      <c r="AD6" s="480"/>
      <c r="AG6" s="497"/>
      <c r="AI6" s="418"/>
      <c r="AJ6" s="315" t="s">
        <v>340</v>
      </c>
      <c r="AK6" s="315" t="s">
        <v>340</v>
      </c>
      <c r="AL6" s="315" t="s">
        <v>340</v>
      </c>
      <c r="AM6" s="315" t="s">
        <v>340</v>
      </c>
      <c r="AN6" s="315" t="s">
        <v>340</v>
      </c>
      <c r="AO6" s="419"/>
    </row>
    <row r="7" spans="1:43" s="479" customFormat="1" ht="15" thickBot="1" x14ac:dyDescent="0.4">
      <c r="B7" s="480"/>
      <c r="C7" s="480"/>
      <c r="D7" s="480"/>
      <c r="E7" s="480"/>
      <c r="F7" s="480"/>
      <c r="J7" s="497"/>
      <c r="L7" s="479">
        <v>6</v>
      </c>
      <c r="M7" s="480">
        <v>19.691543463013311</v>
      </c>
      <c r="N7" s="480">
        <v>2.6178284348808116</v>
      </c>
      <c r="O7" s="480">
        <v>24.262794624069976</v>
      </c>
      <c r="P7" s="480">
        <v>2.9987052399107306</v>
      </c>
      <c r="Q7" s="480">
        <v>2.6178284348808116</v>
      </c>
      <c r="R7" s="480">
        <v>63.456497122227177</v>
      </c>
      <c r="S7" s="480">
        <v>66.625145701759635</v>
      </c>
      <c r="T7" s="480">
        <v>571.90822755164447</v>
      </c>
      <c r="U7" s="480">
        <v>600.22354815307153</v>
      </c>
      <c r="V7" s="480">
        <v>0.22406240803042504</v>
      </c>
      <c r="W7" s="480">
        <v>0.23656836906072423</v>
      </c>
      <c r="X7" s="480">
        <v>5.3611061612297381E-2</v>
      </c>
      <c r="Y7" s="480">
        <v>0.80949701432188925</v>
      </c>
      <c r="Z7" s="480">
        <v>0.85337993985375182</v>
      </c>
      <c r="AA7" s="481">
        <v>2.3969921661407008</v>
      </c>
      <c r="AB7" s="480"/>
      <c r="AC7" s="480"/>
      <c r="AD7" s="480"/>
      <c r="AG7" s="497"/>
      <c r="AI7" s="418"/>
      <c r="AJ7" s="315" t="s">
        <v>341</v>
      </c>
      <c r="AK7" s="315" t="s">
        <v>341</v>
      </c>
      <c r="AL7" s="315" t="s">
        <v>341</v>
      </c>
      <c r="AM7" s="315" t="s">
        <v>341</v>
      </c>
      <c r="AN7" s="315" t="s">
        <v>341</v>
      </c>
      <c r="AO7" s="419"/>
      <c r="AP7" s="420"/>
      <c r="AQ7" s="419"/>
    </row>
    <row r="8" spans="1:43" s="479" customFormat="1" x14ac:dyDescent="0.35">
      <c r="B8" s="499" t="s">
        <v>342</v>
      </c>
      <c r="C8" s="499">
        <v>2024</v>
      </c>
      <c r="D8" s="499">
        <v>2025</v>
      </c>
      <c r="E8" s="499">
        <v>2026</v>
      </c>
      <c r="F8" s="499">
        <v>2027</v>
      </c>
      <c r="G8" s="499" t="s">
        <v>27</v>
      </c>
      <c r="J8" s="497"/>
      <c r="L8" s="479">
        <v>7</v>
      </c>
      <c r="M8" s="480">
        <v>22.792452517089092</v>
      </c>
      <c r="N8" s="480">
        <v>3.0327939789499827</v>
      </c>
      <c r="O8" s="480">
        <v>28.083557565699063</v>
      </c>
      <c r="P8" s="480">
        <v>3.47404553906952</v>
      </c>
      <c r="Q8" s="480">
        <v>3.0327939789499827</v>
      </c>
      <c r="R8" s="480">
        <v>72.997360014294742</v>
      </c>
      <c r="S8" s="480">
        <v>77.378275575095103</v>
      </c>
      <c r="T8" s="480">
        <v>655.77212934735871</v>
      </c>
      <c r="U8" s="480">
        <v>694.74324075275626</v>
      </c>
      <c r="V8" s="480">
        <v>0.25303648496114423</v>
      </c>
      <c r="W8" s="480">
        <v>0.2695802896038042</v>
      </c>
      <c r="X8" s="480">
        <v>5.8177885794686038E-2</v>
      </c>
      <c r="Y8" s="480">
        <v>0.9266105471689291</v>
      </c>
      <c r="Z8" s="480">
        <v>0.98681448032626862</v>
      </c>
      <c r="AA8" s="481">
        <v>2.61261365902467</v>
      </c>
      <c r="AB8" s="480"/>
      <c r="AC8" s="480"/>
      <c r="AD8" s="480"/>
      <c r="AG8" s="497"/>
      <c r="AI8" s="421" t="s">
        <v>343</v>
      </c>
      <c r="AJ8" s="421"/>
      <c r="AK8" s="421"/>
      <c r="AL8" s="421"/>
      <c r="AM8" s="421"/>
      <c r="AN8" s="421"/>
      <c r="AP8" s="422"/>
      <c r="AQ8" s="423"/>
    </row>
    <row r="9" spans="1:43" s="479" customFormat="1" ht="17.5" customHeight="1" x14ac:dyDescent="0.35">
      <c r="B9" s="500" t="s">
        <v>344</v>
      </c>
      <c r="C9" s="501">
        <f>'TEP Filing Inputs'!E74</f>
        <v>9915209.7284542732</v>
      </c>
      <c r="D9" s="501">
        <f>'TEP Filing Inputs'!E75</f>
        <v>16078387.465972796</v>
      </c>
      <c r="E9" s="501">
        <f>'TEP Filing Inputs'!E76</f>
        <v>3248081.5672741234</v>
      </c>
      <c r="F9" s="501">
        <f>'TEP Filing Inputs'!E77</f>
        <v>4484372.319364286</v>
      </c>
      <c r="G9" s="501">
        <f>SUM(C9:F9)</f>
        <v>33726051.081065476</v>
      </c>
      <c r="J9" s="497"/>
      <c r="L9" s="479">
        <v>8</v>
      </c>
      <c r="M9" s="480">
        <v>25.843831078045561</v>
      </c>
      <c r="N9" s="480">
        <v>3.4415273728875313</v>
      </c>
      <c r="O9" s="480">
        <v>31.843291864020429</v>
      </c>
      <c r="P9" s="480">
        <v>3.9422469512765916</v>
      </c>
      <c r="Q9" s="480">
        <v>3.4415273728875313</v>
      </c>
      <c r="R9" s="480">
        <v>82.264799050468923</v>
      </c>
      <c r="S9" s="480">
        <v>88.033555089467015</v>
      </c>
      <c r="T9" s="480">
        <v>736.66760873181829</v>
      </c>
      <c r="U9" s="480">
        <v>787.75318027606659</v>
      </c>
      <c r="V9" s="480">
        <v>0.28058176928963502</v>
      </c>
      <c r="W9" s="480">
        <v>0.30165420447648317</v>
      </c>
      <c r="X9" s="480">
        <v>6.247082979064391E-2</v>
      </c>
      <c r="Y9" s="480">
        <v>1.0394055915103637</v>
      </c>
      <c r="Z9" s="480">
        <v>1.1181537907913002</v>
      </c>
      <c r="AA9" s="481">
        <v>2.8183944798807246</v>
      </c>
      <c r="AB9" s="480"/>
      <c r="AC9" s="480"/>
      <c r="AD9" s="480"/>
      <c r="AG9" s="497"/>
      <c r="AI9" s="515" t="s">
        <v>345</v>
      </c>
      <c r="AJ9" s="424" t="s">
        <v>346</v>
      </c>
      <c r="AK9" s="425">
        <f>-C9</f>
        <v>-9915209.7284542732</v>
      </c>
      <c r="AL9" s="425">
        <f>AK9</f>
        <v>-9915209.7284542732</v>
      </c>
      <c r="AM9" s="425">
        <f>AL9</f>
        <v>-9915209.7284542732</v>
      </c>
      <c r="AN9" s="425">
        <f>AM9</f>
        <v>-9915209.7284542732</v>
      </c>
      <c r="AP9" s="426"/>
      <c r="AQ9" s="427"/>
    </row>
    <row r="10" spans="1:43" s="479" customFormat="1" x14ac:dyDescent="0.35">
      <c r="B10" s="500" t="s">
        <v>347</v>
      </c>
      <c r="C10" s="501">
        <f>'TEP Filing Inputs'!H32</f>
        <v>3796708.1989438348</v>
      </c>
      <c r="D10" s="501">
        <f>'TEP Filing Inputs'!I32</f>
        <v>5681556.6292189863</v>
      </c>
      <c r="E10" s="501">
        <f>'TEP Filing Inputs'!J32</f>
        <v>3574045.3521351111</v>
      </c>
      <c r="F10" s="501">
        <f>'TEP Filing Inputs'!K32</f>
        <v>4496479.5234320108</v>
      </c>
      <c r="G10" s="501">
        <f t="shared" ref="G10:G11" si="0">SUM(C10:F10)</f>
        <v>17548789.703729942</v>
      </c>
      <c r="J10" s="497"/>
      <c r="L10" s="479">
        <v>9</v>
      </c>
      <c r="M10" s="480">
        <v>28.846470291222957</v>
      </c>
      <c r="N10" s="480">
        <v>3.8440033123881765</v>
      </c>
      <c r="O10" s="480">
        <v>35.542972323114007</v>
      </c>
      <c r="P10" s="480">
        <v>4.4032804906168153</v>
      </c>
      <c r="Q10" s="480">
        <v>3.8440033123881765</v>
      </c>
      <c r="R10" s="480">
        <v>91.266650063401073</v>
      </c>
      <c r="S10" s="480">
        <v>98.591874654724606</v>
      </c>
      <c r="T10" s="480">
        <v>814.69973512610864</v>
      </c>
      <c r="U10" s="480">
        <v>879.27748184958546</v>
      </c>
      <c r="V10" s="480">
        <v>0.30568663462403156</v>
      </c>
      <c r="W10" s="480">
        <v>0.33152908238285494</v>
      </c>
      <c r="X10" s="480">
        <v>6.6143975238783043E-2</v>
      </c>
      <c r="Y10" s="480">
        <v>1.1481019542233677</v>
      </c>
      <c r="Z10" s="480">
        <v>1.2475028441187654</v>
      </c>
      <c r="AA10" s="481">
        <v>2.9972029126993247</v>
      </c>
      <c r="AB10" s="480"/>
      <c r="AC10" s="480"/>
      <c r="AD10" s="480"/>
      <c r="AG10" s="497"/>
      <c r="AI10" s="428" t="s">
        <v>348</v>
      </c>
      <c r="AJ10" s="424" t="s">
        <v>346</v>
      </c>
      <c r="AK10" s="425" cm="1">
        <f t="array" ref="AK10">INDEX($T$2:$T$21,$B$3)*$AQ$24</f>
        <v>-6882979.0165578043</v>
      </c>
      <c r="AL10" s="429">
        <f>AK10</f>
        <v>-6882979.0165578043</v>
      </c>
      <c r="AM10" s="425" cm="1">
        <f t="array" ref="AM10">INDEX($U$2:$U$21,$B$3)*$AQ$24</f>
        <v>-7496822.4545080028</v>
      </c>
      <c r="AN10" s="429">
        <f>AM10</f>
        <v>-7496822.4545080028</v>
      </c>
      <c r="AP10" s="426"/>
      <c r="AQ10" s="430"/>
    </row>
    <row r="11" spans="1:43" s="479" customFormat="1" x14ac:dyDescent="0.35">
      <c r="B11" s="500" t="s">
        <v>27</v>
      </c>
      <c r="C11" s="501">
        <f>SUM(C9:C10)</f>
        <v>13711917.927398108</v>
      </c>
      <c r="D11" s="501">
        <f t="shared" ref="D11:F11" si="1">SUM(D9:D10)</f>
        <v>21759944.095191784</v>
      </c>
      <c r="E11" s="501">
        <f t="shared" si="1"/>
        <v>6822126.9194092341</v>
      </c>
      <c r="F11" s="501">
        <f t="shared" si="1"/>
        <v>8980851.8427962959</v>
      </c>
      <c r="G11" s="501">
        <f t="shared" si="0"/>
        <v>51274840.784795418</v>
      </c>
      <c r="J11" s="497"/>
      <c r="L11" s="479">
        <v>10</v>
      </c>
      <c r="M11" s="480">
        <v>31.801148665080483</v>
      </c>
      <c r="N11" s="480">
        <v>4.2402044699961969</v>
      </c>
      <c r="O11" s="480">
        <v>39.183558176617034</v>
      </c>
      <c r="P11" s="480">
        <v>4.8571263086037231</v>
      </c>
      <c r="Q11" s="480">
        <v>4.2402044699961969</v>
      </c>
      <c r="R11" s="480">
        <v>100.01052432496621</v>
      </c>
      <c r="S11" s="480">
        <v>109.05411657824607</v>
      </c>
      <c r="T11" s="480">
        <v>889.96985894447653</v>
      </c>
      <c r="U11" s="480">
        <v>969.33987541152339</v>
      </c>
      <c r="V11" s="480">
        <v>0.33235755555595031</v>
      </c>
      <c r="W11" s="480">
        <v>0.36396526861313594</v>
      </c>
      <c r="X11" s="480">
        <v>7.1218444519261931E-2</v>
      </c>
      <c r="Y11" s="480">
        <v>1.252872380809624</v>
      </c>
      <c r="Z11" s="480">
        <v>1.3749207565655297</v>
      </c>
      <c r="AA11" s="481">
        <v>3.2481399010766987</v>
      </c>
      <c r="AB11" s="480"/>
      <c r="AC11" s="480"/>
      <c r="AD11" s="480"/>
      <c r="AG11" s="497"/>
      <c r="AI11" s="428" t="s">
        <v>349</v>
      </c>
      <c r="AJ11" s="424" t="s">
        <v>346</v>
      </c>
      <c r="AK11" s="425" cm="1">
        <f t="array" ref="AK11">INDEX($R$2:$R$21,$B$3)*$AQ$24</f>
        <v>-773476.01544630784</v>
      </c>
      <c r="AL11" s="429">
        <f t="shared" ref="AL11:AL13" si="2">AK11</f>
        <v>-773476.01544630784</v>
      </c>
      <c r="AM11" s="425" cm="1">
        <f t="array" ref="AM11">INDEX($S$2:$S$21,$B$3)*$AQ$24</f>
        <v>-843418.67146777804</v>
      </c>
      <c r="AN11" s="429">
        <f t="shared" ref="AN11:AN13" si="3">AM11</f>
        <v>-843418.67146777804</v>
      </c>
      <c r="AP11" s="426"/>
      <c r="AQ11" s="430"/>
    </row>
    <row r="12" spans="1:43" s="479" customFormat="1" x14ac:dyDescent="0.35">
      <c r="J12" s="497"/>
      <c r="L12" s="479">
        <v>11</v>
      </c>
      <c r="M12" s="480">
        <v>34.708632273043868</v>
      </c>
      <c r="N12" s="480">
        <v>4.6301210112758131</v>
      </c>
      <c r="O12" s="480">
        <v>42.765993336429062</v>
      </c>
      <c r="P12" s="480">
        <v>5.3037731399558661</v>
      </c>
      <c r="Q12" s="480">
        <v>4.6301210112758131</v>
      </c>
      <c r="R12" s="480">
        <v>108.50381498176834</v>
      </c>
      <c r="S12" s="480">
        <v>119.42115513866869</v>
      </c>
      <c r="T12" s="480">
        <v>962.57574323122071</v>
      </c>
      <c r="U12" s="480">
        <v>1057.963711864292</v>
      </c>
      <c r="V12" s="480">
        <v>0.3576193725306559</v>
      </c>
      <c r="W12" s="480">
        <v>0.39536311699841803</v>
      </c>
      <c r="X12" s="480">
        <v>7.6575466556894692E-2</v>
      </c>
      <c r="Y12" s="480">
        <v>1.353922022293877</v>
      </c>
      <c r="Z12" s="480">
        <v>1.5005151002299828</v>
      </c>
      <c r="AA12" s="481">
        <v>3.5173191440167253</v>
      </c>
      <c r="AB12" s="480"/>
      <c r="AC12" s="480"/>
      <c r="AD12" s="480"/>
      <c r="AG12" s="497"/>
      <c r="AI12" s="428" t="s">
        <v>350</v>
      </c>
      <c r="AJ12" s="424" t="s">
        <v>346</v>
      </c>
      <c r="AK12" s="425" cm="1">
        <f t="array" ref="AK12">INDEX($V$2:$V$21,$B$3)*$AQ$26</f>
        <v>-17991735.155976091</v>
      </c>
      <c r="AL12" s="429">
        <f t="shared" si="2"/>
        <v>-17991735.155976091</v>
      </c>
      <c r="AM12" s="425" cm="1">
        <f t="array" ref="AM12">INDEX($W$2:$W$21,$B$3)*$AQ$26</f>
        <v>-19702776.751704875</v>
      </c>
      <c r="AN12" s="429">
        <f t="shared" si="3"/>
        <v>-19702776.751704875</v>
      </c>
      <c r="AP12" s="431"/>
      <c r="AQ12" s="432"/>
    </row>
    <row r="13" spans="1:43" s="479" customFormat="1" x14ac:dyDescent="0.35">
      <c r="B13" s="500" t="s">
        <v>351</v>
      </c>
      <c r="C13" s="494">
        <f>'TEP Filing Inputs'!C57-'TEP Filing Inputs'!C56</f>
        <v>13099</v>
      </c>
      <c r="D13" s="494">
        <f>'TEP Filing Inputs'!C58-'TEP Filing Inputs'!C57</f>
        <v>14310</v>
      </c>
      <c r="E13" s="494">
        <f>'TEP Filing Inputs'!C59-'TEP Filing Inputs'!C58</f>
        <v>18832</v>
      </c>
      <c r="F13" s="494">
        <f>'TEP Filing Inputs'!C60-'TEP Filing Inputs'!C59</f>
        <v>24738</v>
      </c>
      <c r="G13" s="502">
        <f>SUM(C13:F13)</f>
        <v>70979</v>
      </c>
      <c r="J13" s="497"/>
      <c r="L13" s="479">
        <v>12</v>
      </c>
      <c r="M13" s="480">
        <v>37.569674952128842</v>
      </c>
      <c r="N13" s="480">
        <v>5.0137501337535708</v>
      </c>
      <c r="O13" s="480">
        <v>46.291206637444482</v>
      </c>
      <c r="P13" s="480">
        <v>5.7432177744583495</v>
      </c>
      <c r="Q13" s="480">
        <v>5.0137501337535708</v>
      </c>
      <c r="R13" s="480">
        <v>116.75370330621573</v>
      </c>
      <c r="S13" s="480">
        <v>129.69385665894808</v>
      </c>
      <c r="T13" s="480">
        <v>1032.6116906382006</v>
      </c>
      <c r="U13" s="480">
        <v>1145.1719691288024</v>
      </c>
      <c r="V13" s="480">
        <v>0.38311588718773859</v>
      </c>
      <c r="W13" s="480">
        <v>0.42774929145824858</v>
      </c>
      <c r="X13" s="480">
        <v>8.2609569775318775E-2</v>
      </c>
      <c r="Y13" s="480">
        <v>1.4512926341652204</v>
      </c>
      <c r="Z13" s="480">
        <v>1.6241971668080424</v>
      </c>
      <c r="AA13" s="481">
        <v>3.8254895711774917</v>
      </c>
      <c r="AB13" s="480"/>
      <c r="AC13" s="480"/>
      <c r="AD13" s="480"/>
      <c r="AG13" s="497"/>
      <c r="AI13" s="428" t="s">
        <v>352</v>
      </c>
      <c r="AJ13" s="424" t="s">
        <v>346</v>
      </c>
      <c r="AK13" s="425">
        <f>SUM(AK10:AK12)*0.02</f>
        <v>-512963.80375960411</v>
      </c>
      <c r="AL13" s="429">
        <f t="shared" si="2"/>
        <v>-512963.80375960411</v>
      </c>
      <c r="AM13" s="425">
        <f>SUM(AM10:AM12)*0.02</f>
        <v>-560860.35755361314</v>
      </c>
      <c r="AN13" s="429">
        <f t="shared" si="3"/>
        <v>-560860.35755361314</v>
      </c>
      <c r="AP13" s="426"/>
      <c r="AQ13" s="433"/>
    </row>
    <row r="14" spans="1:43" s="479" customFormat="1" ht="15" thickBot="1" x14ac:dyDescent="0.4">
      <c r="B14" s="500" t="s">
        <v>353</v>
      </c>
      <c r="C14" s="493">
        <v>0</v>
      </c>
      <c r="D14" s="493">
        <v>0</v>
      </c>
      <c r="E14" s="493">
        <v>2</v>
      </c>
      <c r="F14" s="493">
        <v>0</v>
      </c>
      <c r="G14" s="493">
        <f>SUM(C14:F14)</f>
        <v>2</v>
      </c>
      <c r="J14" s="497"/>
      <c r="L14" s="479">
        <v>13</v>
      </c>
      <c r="M14" s="480">
        <v>40.385018498392036</v>
      </c>
      <c r="N14" s="480">
        <v>5.3910956276715378</v>
      </c>
      <c r="O14" s="480">
        <v>49.760112078375919</v>
      </c>
      <c r="P14" s="480">
        <v>6.1754645538085136</v>
      </c>
      <c r="Q14" s="480">
        <v>5.3910956276715378</v>
      </c>
      <c r="R14" s="480">
        <v>124.76716476845178</v>
      </c>
      <c r="S14" s="480">
        <v>139.87307957875251</v>
      </c>
      <c r="T14" s="480">
        <v>1100.1686659078866</v>
      </c>
      <c r="U14" s="480">
        <v>1230.9872581020597</v>
      </c>
      <c r="V14" s="480">
        <v>0.40683111910829906</v>
      </c>
      <c r="W14" s="480">
        <v>0.45853504162030995</v>
      </c>
      <c r="X14" s="480">
        <v>8.8116683180352762E-2</v>
      </c>
      <c r="Y14" s="480">
        <v>1.5452213842197249</v>
      </c>
      <c r="Z14" s="480">
        <v>1.7461300680716261</v>
      </c>
      <c r="AA14" s="481">
        <v>4.1114293951038849</v>
      </c>
      <c r="AB14" s="480"/>
      <c r="AC14" s="480"/>
      <c r="AD14" s="480"/>
      <c r="AG14" s="497"/>
      <c r="AI14" s="434" t="s">
        <v>354</v>
      </c>
      <c r="AJ14" s="435" t="s">
        <v>346</v>
      </c>
      <c r="AK14" s="436">
        <f>SUM(AK9:AK13)</f>
        <v>-36076363.720194086</v>
      </c>
      <c r="AL14" s="436">
        <f>SUM(AL9:AL13)</f>
        <v>-36076363.720194086</v>
      </c>
      <c r="AM14" s="436">
        <f>SUM(AM9:AM13)</f>
        <v>-38519087.963688545</v>
      </c>
      <c r="AN14" s="436">
        <f>SUM(AN9:AN13)</f>
        <v>-38519087.963688545</v>
      </c>
      <c r="AP14" s="431"/>
      <c r="AQ14" s="437"/>
    </row>
    <row r="15" spans="1:43" s="479" customFormat="1" x14ac:dyDescent="0.35">
      <c r="B15" s="500" t="s">
        <v>355</v>
      </c>
      <c r="C15" s="502">
        <v>756</v>
      </c>
      <c r="D15" s="502">
        <v>1352</v>
      </c>
      <c r="E15" s="502">
        <v>1902</v>
      </c>
      <c r="F15" s="502">
        <v>2652</v>
      </c>
      <c r="G15" s="502">
        <f>SUM(C15:F15)</f>
        <v>6662</v>
      </c>
      <c r="J15" s="497"/>
      <c r="L15" s="479">
        <v>14</v>
      </c>
      <c r="M15" s="480">
        <v>43.155392859259933</v>
      </c>
      <c r="N15" s="480">
        <v>5.7621674576283297</v>
      </c>
      <c r="O15" s="480">
        <v>53.173609058731003</v>
      </c>
      <c r="P15" s="480">
        <v>6.6005248923884769</v>
      </c>
      <c r="Q15" s="480">
        <v>5.7621674576283297</v>
      </c>
      <c r="R15" s="480">
        <v>132.55097493427527</v>
      </c>
      <c r="S15" s="480">
        <v>149.95967452619857</v>
      </c>
      <c r="T15" s="480">
        <v>1165.3344140210349</v>
      </c>
      <c r="U15" s="480">
        <v>1315.431828519597</v>
      </c>
      <c r="V15" s="480">
        <v>0.42962185672911041</v>
      </c>
      <c r="W15" s="480">
        <v>0.48877103740603717</v>
      </c>
      <c r="X15" s="480">
        <v>9.3078761003243207E-2</v>
      </c>
      <c r="Y15" s="480">
        <v>1.6359587045252615</v>
      </c>
      <c r="Z15" s="480">
        <v>1.8665093765439034</v>
      </c>
      <c r="AA15" s="481">
        <v>4.3734258284427048</v>
      </c>
      <c r="AB15" s="480"/>
      <c r="AC15" s="480"/>
      <c r="AD15" s="480"/>
      <c r="AG15" s="497"/>
      <c r="AI15" s="421"/>
      <c r="AJ15" s="438"/>
      <c r="AK15" s="438"/>
      <c r="AL15" s="438"/>
      <c r="AM15" s="438"/>
      <c r="AN15" s="438"/>
      <c r="AP15" s="431"/>
      <c r="AQ15" s="439"/>
    </row>
    <row r="16" spans="1:43" s="479" customFormat="1" x14ac:dyDescent="0.35">
      <c r="B16" s="500" t="s">
        <v>356</v>
      </c>
      <c r="C16" s="502">
        <v>605</v>
      </c>
      <c r="D16" s="502">
        <v>1082</v>
      </c>
      <c r="E16" s="502">
        <v>1383</v>
      </c>
      <c r="F16" s="502">
        <v>2040</v>
      </c>
      <c r="G16" s="502">
        <f>SUM(C16:F16)</f>
        <v>5110</v>
      </c>
      <c r="J16" s="497"/>
      <c r="L16" s="479">
        <v>15</v>
      </c>
      <c r="M16" s="480">
        <v>45.881516322785799</v>
      </c>
      <c r="N16" s="480">
        <v>6.1269813642216553</v>
      </c>
      <c r="O16" s="480">
        <v>56.532582612003942</v>
      </c>
      <c r="P16" s="480">
        <v>7.0184168209493016</v>
      </c>
      <c r="Q16" s="480">
        <v>6.1269813642216553</v>
      </c>
      <c r="R16" s="480">
        <v>140.11171519403703</v>
      </c>
      <c r="S16" s="480">
        <v>159.95448438893411</v>
      </c>
      <c r="T16" s="480">
        <v>1228.1935741624425</v>
      </c>
      <c r="U16" s="480">
        <v>1398.5275747242697</v>
      </c>
      <c r="V16" s="480">
        <v>0.45157572893284931</v>
      </c>
      <c r="W16" s="480">
        <v>0.51853704285905966</v>
      </c>
      <c r="X16" s="480">
        <v>9.7815570549848518E-2</v>
      </c>
      <c r="Y16" s="480">
        <v>1.7234195663968566</v>
      </c>
      <c r="Z16" s="480">
        <v>1.9850925798729535</v>
      </c>
      <c r="AA16" s="481">
        <v>4.6278183453027681</v>
      </c>
      <c r="AB16" s="480"/>
      <c r="AC16" s="480"/>
      <c r="AD16" s="480"/>
      <c r="AG16" s="497"/>
      <c r="AI16" s="428"/>
      <c r="AJ16" s="424"/>
      <c r="AK16" s="424"/>
      <c r="AL16" s="424"/>
      <c r="AM16" s="429"/>
      <c r="AN16" s="429"/>
      <c r="AP16" s="431"/>
      <c r="AQ16" s="440"/>
    </row>
    <row r="17" spans="1:43" s="479" customFormat="1" x14ac:dyDescent="0.35">
      <c r="B17" s="500" t="s">
        <v>357</v>
      </c>
      <c r="C17" s="503">
        <f>(C15+C16)/C13</f>
        <v>0.10390106114970608</v>
      </c>
      <c r="D17" s="503">
        <f t="shared" ref="D17:G17" si="4">(D15+D16)/D13</f>
        <v>0.17009084556254367</v>
      </c>
      <c r="E17" s="503">
        <f t="shared" si="4"/>
        <v>0.17443712829226848</v>
      </c>
      <c r="F17" s="503">
        <f t="shared" si="4"/>
        <v>0.18966771768130003</v>
      </c>
      <c r="G17" s="503">
        <f t="shared" si="4"/>
        <v>0.16585187168035617</v>
      </c>
      <c r="J17" s="497"/>
      <c r="L17" s="479">
        <v>16</v>
      </c>
      <c r="M17" s="480">
        <v>48.564095703883609</v>
      </c>
      <c r="N17" s="480">
        <v>6.4856186790869437</v>
      </c>
      <c r="O17" s="480">
        <v>59.837903635142318</v>
      </c>
      <c r="P17" s="480">
        <v>7.4292335043439959</v>
      </c>
      <c r="Q17" s="480">
        <v>6.4856186790869437</v>
      </c>
      <c r="R17" s="480">
        <v>147.4557783273566</v>
      </c>
      <c r="S17" s="480">
        <v>169.85834438457408</v>
      </c>
      <c r="T17" s="480">
        <v>1288.827789652802</v>
      </c>
      <c r="U17" s="480">
        <v>1480.2960413429043</v>
      </c>
      <c r="V17" s="480">
        <v>0.47238757020232292</v>
      </c>
      <c r="W17" s="480">
        <v>0.54737493150084826</v>
      </c>
      <c r="X17" s="480">
        <v>0.10238452290466889</v>
      </c>
      <c r="Y17" s="480">
        <v>1.8069677441012644</v>
      </c>
      <c r="Z17" s="480">
        <v>2.1008609548892512</v>
      </c>
      <c r="AA17" s="481">
        <v>4.8774220050716472</v>
      </c>
      <c r="AB17" s="480"/>
      <c r="AC17" s="480"/>
      <c r="AD17" s="480"/>
      <c r="AG17" s="497"/>
      <c r="AI17" s="428"/>
      <c r="AJ17" s="424"/>
      <c r="AK17" s="424"/>
      <c r="AL17" s="424"/>
      <c r="AM17" s="429"/>
      <c r="AN17" s="429"/>
      <c r="AP17" s="441"/>
      <c r="AQ17" s="442"/>
    </row>
    <row r="18" spans="1:43" s="479" customFormat="1" x14ac:dyDescent="0.35">
      <c r="B18" s="500" t="s">
        <v>358</v>
      </c>
      <c r="C18" s="504">
        <v>4.1700000000000001E-2</v>
      </c>
      <c r="D18" s="539"/>
      <c r="E18" s="539"/>
      <c r="F18" s="539"/>
      <c r="G18" s="539"/>
      <c r="J18" s="497"/>
      <c r="L18" s="479">
        <v>17</v>
      </c>
      <c r="M18" s="480">
        <v>51.20382652758731</v>
      </c>
      <c r="N18" s="480">
        <v>6.8380434583347203</v>
      </c>
      <c r="O18" s="480">
        <v>63.090429114348666</v>
      </c>
      <c r="P18" s="480">
        <v>7.8329337690837679</v>
      </c>
      <c r="Q18" s="480">
        <v>6.8380434583347203</v>
      </c>
      <c r="R18" s="480">
        <v>154.58937390836428</v>
      </c>
      <c r="S18" s="480">
        <v>179.67208213049577</v>
      </c>
      <c r="T18" s="480">
        <v>1347.3158139894413</v>
      </c>
      <c r="U18" s="480">
        <v>1560.7584288722774</v>
      </c>
      <c r="V18" s="480">
        <v>0.49208562087354751</v>
      </c>
      <c r="W18" s="480">
        <v>0.5752695056855619</v>
      </c>
      <c r="X18" s="480">
        <v>0.1070596322616016</v>
      </c>
      <c r="Y18" s="480">
        <v>1.8870916240980582</v>
      </c>
      <c r="Z18" s="480">
        <v>2.2143250509991588</v>
      </c>
      <c r="AA18" s="481">
        <v>5.1373273025497861</v>
      </c>
      <c r="AB18" s="480"/>
      <c r="AC18" s="480"/>
      <c r="AD18" s="480"/>
      <c r="AG18" s="497"/>
      <c r="AI18" s="428"/>
      <c r="AJ18" s="424"/>
      <c r="AK18" s="424"/>
      <c r="AL18" s="424"/>
      <c r="AM18" s="429"/>
      <c r="AN18" s="429"/>
    </row>
    <row r="19" spans="1:43" s="479" customFormat="1" x14ac:dyDescent="0.35">
      <c r="B19" s="500" t="s">
        <v>359</v>
      </c>
      <c r="C19" s="504">
        <f>(4*0.10301+8*0.08803)/12</f>
        <v>9.3023333333333333E-2</v>
      </c>
      <c r="D19" s="539" t="s">
        <v>360</v>
      </c>
      <c r="E19" s="539"/>
      <c r="F19" s="539"/>
      <c r="G19" s="539"/>
      <c r="J19" s="497"/>
      <c r="L19" s="479">
        <v>18</v>
      </c>
      <c r="M19" s="480">
        <v>53.801393209382873</v>
      </c>
      <c r="N19" s="480">
        <v>7.1842866292985432</v>
      </c>
      <c r="O19" s="480">
        <v>66.291002347275338</v>
      </c>
      <c r="P19" s="480">
        <v>8.2295530422256302</v>
      </c>
      <c r="Q19" s="480">
        <v>7.1842866292985432</v>
      </c>
      <c r="R19" s="480">
        <v>161.51853355603885</v>
      </c>
      <c r="S19" s="480">
        <v>189.39651771299862</v>
      </c>
      <c r="T19" s="480">
        <v>1403.7336131336751</v>
      </c>
      <c r="U19" s="480">
        <v>1639.9355991758664</v>
      </c>
      <c r="V19" s="480">
        <v>0.51170884993988175</v>
      </c>
      <c r="W19" s="480">
        <v>0.60366899233542604</v>
      </c>
      <c r="X19" s="480">
        <v>0.1116537184714621</v>
      </c>
      <c r="Y19" s="480">
        <v>1.9644403020190553</v>
      </c>
      <c r="Z19" s="480">
        <v>2.3262670121604136</v>
      </c>
      <c r="AA19" s="481">
        <v>5.3972880147121671</v>
      </c>
      <c r="AB19" s="480"/>
      <c r="AC19" s="480"/>
      <c r="AD19" s="480"/>
      <c r="AG19" s="497"/>
      <c r="AI19" s="428"/>
      <c r="AJ19" s="424"/>
      <c r="AK19" s="424"/>
      <c r="AL19" s="424"/>
      <c r="AM19" s="429"/>
      <c r="AN19" s="429"/>
      <c r="AP19" s="420" t="s">
        <v>361</v>
      </c>
      <c r="AQ19" s="419"/>
    </row>
    <row r="20" spans="1:43" s="479" customFormat="1" ht="15" thickBot="1" x14ac:dyDescent="0.4">
      <c r="B20" s="500" t="s">
        <v>362</v>
      </c>
      <c r="C20" s="505">
        <f>C18/C19</f>
        <v>0.4482746264378113</v>
      </c>
      <c r="D20" s="539"/>
      <c r="E20" s="539"/>
      <c r="F20" s="539"/>
      <c r="G20" s="539"/>
      <c r="J20" s="497"/>
      <c r="L20" s="479">
        <v>19</v>
      </c>
      <c r="M20" s="480">
        <v>56.357469232659916</v>
      </c>
      <c r="N20" s="480">
        <v>7.5243834834161323</v>
      </c>
      <c r="O20" s="480">
        <v>69.440453161670277</v>
      </c>
      <c r="P20" s="480">
        <v>8.6191317498791751</v>
      </c>
      <c r="Q20" s="480">
        <v>7.5243834834161323</v>
      </c>
      <c r="R20" s="480">
        <v>168.24911603407992</v>
      </c>
      <c r="S20" s="480">
        <v>199.03246375583493</v>
      </c>
      <c r="T20" s="480">
        <v>1458.1544641776245</v>
      </c>
      <c r="U20" s="480">
        <v>1717.8480808928057</v>
      </c>
      <c r="V20" s="480">
        <v>0.52991289451336177</v>
      </c>
      <c r="W20" s="480">
        <v>0.63059372729444974</v>
      </c>
      <c r="X20" s="480">
        <v>0.11587825923092776</v>
      </c>
      <c r="Y20" s="480">
        <v>2.0388744786830006</v>
      </c>
      <c r="Z20" s="480">
        <v>2.4363590562927113</v>
      </c>
      <c r="AA20" s="481">
        <v>5.6406578139111065</v>
      </c>
      <c r="AB20" s="480"/>
      <c r="AC20" s="480"/>
      <c r="AD20" s="480"/>
      <c r="AG20" s="497"/>
      <c r="AI20" s="434"/>
      <c r="AJ20" s="435"/>
      <c r="AK20" s="436"/>
      <c r="AL20" s="435"/>
      <c r="AM20" s="436"/>
      <c r="AN20" s="436"/>
      <c r="AP20" s="422" t="s">
        <v>363</v>
      </c>
      <c r="AQ20" s="423">
        <f>B3</f>
        <v>10</v>
      </c>
    </row>
    <row r="21" spans="1:43" s="479" customFormat="1" x14ac:dyDescent="0.35">
      <c r="J21" s="497"/>
      <c r="L21" s="479">
        <v>20</v>
      </c>
      <c r="M21" s="480">
        <v>58.872717323328956</v>
      </c>
      <c r="N21" s="480">
        <v>7.8583733658374797</v>
      </c>
      <c r="O21" s="480">
        <v>72.539598130530351</v>
      </c>
      <c r="P21" s="480">
        <v>9.0017149616547254</v>
      </c>
      <c r="Q21" s="480">
        <v>7.8583733658374797</v>
      </c>
      <c r="R21" s="480">
        <v>174.78681220462732</v>
      </c>
      <c r="S21" s="480">
        <v>208.58072548811685</v>
      </c>
      <c r="T21" s="480">
        <v>1510.6490505186518</v>
      </c>
      <c r="U21" s="480">
        <v>1794.5160747604425</v>
      </c>
      <c r="V21" s="480">
        <v>0.54755678957900289</v>
      </c>
      <c r="W21" s="480">
        <v>0.65726363687233014</v>
      </c>
      <c r="X21" s="480">
        <v>0.11980346372225355</v>
      </c>
      <c r="Y21" s="506">
        <v>2.1101256033879769</v>
      </c>
      <c r="Z21" s="506">
        <v>2.5440598245263915</v>
      </c>
      <c r="AA21" s="481">
        <v>5.8709179569286807</v>
      </c>
      <c r="AB21" s="480"/>
      <c r="AC21" s="480"/>
      <c r="AD21" s="480"/>
      <c r="AG21" s="497"/>
      <c r="AI21" s="421" t="s">
        <v>364</v>
      </c>
      <c r="AJ21" s="438"/>
      <c r="AK21" s="438"/>
      <c r="AL21" s="438"/>
      <c r="AM21" s="438"/>
      <c r="AN21" s="438"/>
      <c r="AO21" s="443"/>
      <c r="AP21" s="426"/>
      <c r="AQ21" s="427"/>
    </row>
    <row r="22" spans="1:43" s="479" customFormat="1" x14ac:dyDescent="0.35">
      <c r="J22" s="497"/>
      <c r="AG22" s="497"/>
      <c r="AI22" s="428" t="s">
        <v>365</v>
      </c>
      <c r="AJ22" s="424" t="s">
        <v>346</v>
      </c>
      <c r="AK22" s="424" t="s">
        <v>346</v>
      </c>
      <c r="AL22" s="424" t="s">
        <v>346</v>
      </c>
      <c r="AM22" s="425" cm="1">
        <f t="array" ref="AM22">INDEX($X$2:$X$21,$B$3)*$AQ$26</f>
        <v>-3855315.9709812328</v>
      </c>
      <c r="AN22" s="424">
        <f>AM22</f>
        <v>-3855315.9709812328</v>
      </c>
      <c r="AO22" s="443"/>
      <c r="AP22" s="426" t="s">
        <v>366</v>
      </c>
      <c r="AQ22" s="430">
        <v>8.6999999999999966E-2</v>
      </c>
    </row>
    <row r="23" spans="1:43" s="479" customFormat="1" x14ac:dyDescent="0.35">
      <c r="J23" s="497"/>
      <c r="AG23" s="497"/>
      <c r="AI23" s="428" t="s">
        <v>367</v>
      </c>
      <c r="AJ23" s="424" t="s">
        <v>346</v>
      </c>
      <c r="AK23" s="424" t="s">
        <v>346</v>
      </c>
      <c r="AL23" s="424" t="s">
        <v>346</v>
      </c>
      <c r="AM23" s="424">
        <v>0</v>
      </c>
      <c r="AN23" s="424">
        <v>0</v>
      </c>
      <c r="AO23" s="443"/>
      <c r="AP23" s="426" t="s">
        <v>368</v>
      </c>
      <c r="AQ23" s="430">
        <v>0.10560000000000003</v>
      </c>
    </row>
    <row r="24" spans="1:43" s="479" customFormat="1" x14ac:dyDescent="0.35">
      <c r="J24" s="497"/>
      <c r="K24" s="507" t="s">
        <v>369</v>
      </c>
      <c r="L24" s="507"/>
      <c r="M24" s="479" t="s">
        <v>300</v>
      </c>
      <c r="N24" s="479" t="s">
        <v>301</v>
      </c>
      <c r="O24" s="479" t="s">
        <v>302</v>
      </c>
      <c r="P24" s="479" t="s">
        <v>303</v>
      </c>
      <c r="Q24" s="479" t="s">
        <v>304</v>
      </c>
      <c r="R24" s="479" t="s">
        <v>305</v>
      </c>
      <c r="S24" s="479" t="s">
        <v>306</v>
      </c>
      <c r="T24" s="479" t="s">
        <v>307</v>
      </c>
      <c r="U24" s="479" t="s">
        <v>308</v>
      </c>
      <c r="V24" s="479" t="s">
        <v>309</v>
      </c>
      <c r="W24" s="479" t="s">
        <v>310</v>
      </c>
      <c r="X24" s="479" t="s">
        <v>311</v>
      </c>
      <c r="Y24" s="479" t="s">
        <v>312</v>
      </c>
      <c r="Z24" s="479" t="s">
        <v>313</v>
      </c>
      <c r="AA24" s="479" t="s">
        <v>314</v>
      </c>
      <c r="AB24" s="479" t="s">
        <v>315</v>
      </c>
      <c r="AC24" s="479" t="s">
        <v>316</v>
      </c>
      <c r="AD24" s="479" t="s">
        <v>317</v>
      </c>
      <c r="AE24" s="479" t="s">
        <v>318</v>
      </c>
      <c r="AF24" s="479" t="s">
        <v>319</v>
      </c>
      <c r="AG24" s="497"/>
      <c r="AI24" s="428" t="s">
        <v>370</v>
      </c>
      <c r="AJ24" s="424" t="s">
        <v>346</v>
      </c>
      <c r="AK24" s="424" t="s">
        <v>346</v>
      </c>
      <c r="AL24" s="424" t="s">
        <v>346</v>
      </c>
      <c r="AM24" s="425" cm="1">
        <f t="array" ref="AM24">INDEX($N$2:$N$21,$B$3)*$AQ$27+INDEX($P$2:$P$21,$B$3)*$AQ$28</f>
        <v>29683462.703601081</v>
      </c>
      <c r="AN24" s="424">
        <f>AM24</f>
        <v>29683462.703601081</v>
      </c>
      <c r="AO24" s="443"/>
      <c r="AP24" s="431" t="s">
        <v>371</v>
      </c>
      <c r="AQ24" s="444">
        <f>D3*(1+AQ23)*C13+D4*(1+AQ23)*C14</f>
        <v>-7733.9462088313485</v>
      </c>
    </row>
    <row r="25" spans="1:43" s="479" customFormat="1" x14ac:dyDescent="0.35">
      <c r="J25" s="497"/>
      <c r="L25" s="479">
        <v>1</v>
      </c>
      <c r="M25" s="480">
        <v>3.4154399999999998</v>
      </c>
      <c r="N25" s="480">
        <v>0.46003183477662751</v>
      </c>
      <c r="O25" s="480">
        <v>4.2777471150000004</v>
      </c>
      <c r="P25" s="480">
        <v>0.52696343850861571</v>
      </c>
      <c r="Q25" s="480">
        <v>0.45121521102664958</v>
      </c>
      <c r="R25" s="480">
        <v>11.627475528752063</v>
      </c>
      <c r="S25" s="480">
        <v>11.627475528752063</v>
      </c>
      <c r="T25" s="480">
        <v>105.8247655</v>
      </c>
      <c r="U25" s="480">
        <v>105.8247655</v>
      </c>
      <c r="V25" s="480">
        <v>4.5230965329332816E-2</v>
      </c>
      <c r="W25" s="480">
        <v>4.5230965329332816E-2</v>
      </c>
      <c r="X25" s="480">
        <v>9.2206089736187064E-3</v>
      </c>
      <c r="Y25" s="480">
        <v>0.14959871665858113</v>
      </c>
      <c r="Z25" s="480">
        <v>0.14959871665858113</v>
      </c>
      <c r="AA25" s="481">
        <v>0.39270055253912717</v>
      </c>
      <c r="AB25" s="481">
        <v>19.592497222173233</v>
      </c>
      <c r="AC25" s="480">
        <v>120286</v>
      </c>
      <c r="AD25" s="481">
        <v>22.44</v>
      </c>
      <c r="AE25" s="482"/>
      <c r="AF25" s="483">
        <v>3.3000000000000002E-2</v>
      </c>
      <c r="AG25" s="484"/>
      <c r="AI25" s="428" t="s">
        <v>372</v>
      </c>
      <c r="AJ25" s="445" t="s">
        <v>346</v>
      </c>
      <c r="AK25" s="424" t="s">
        <v>346</v>
      </c>
      <c r="AL25" s="424" t="s">
        <v>346</v>
      </c>
      <c r="AM25" s="424">
        <v>0</v>
      </c>
      <c r="AN25" s="424">
        <v>0</v>
      </c>
      <c r="AO25" s="443"/>
      <c r="AP25" s="426" t="s">
        <v>373</v>
      </c>
      <c r="AQ25" s="446">
        <f>C3*C13+C4*C14</f>
        <v>-49800986.911340602</v>
      </c>
    </row>
    <row r="26" spans="1:43" s="479" customFormat="1" x14ac:dyDescent="0.35">
      <c r="A26" s="508"/>
      <c r="C26" s="508"/>
      <c r="D26" s="508"/>
      <c r="E26" s="508"/>
      <c r="F26" s="508"/>
      <c r="G26" s="508"/>
      <c r="H26" s="508"/>
      <c r="I26" s="508"/>
      <c r="J26" s="509"/>
      <c r="L26" s="479">
        <v>2</v>
      </c>
      <c r="M26" s="480">
        <v>6.776325537270087</v>
      </c>
      <c r="N26" s="480">
        <v>0.91390255939095999</v>
      </c>
      <c r="O26" s="480">
        <v>8.4871662267110359</v>
      </c>
      <c r="P26" s="480">
        <v>1.046869365882747</v>
      </c>
      <c r="Q26" s="480">
        <v>0.89655096589269756</v>
      </c>
      <c r="R26" s="480">
        <v>22.921728661443858</v>
      </c>
      <c r="S26" s="480">
        <v>23.149144407000477</v>
      </c>
      <c r="T26" s="480">
        <v>207.90378820900548</v>
      </c>
      <c r="U26" s="480">
        <v>209.95920318707647</v>
      </c>
      <c r="V26" s="480">
        <v>8.8776778126064687E-2</v>
      </c>
      <c r="W26" s="480">
        <v>8.9734031250321741E-2</v>
      </c>
      <c r="X26" s="480">
        <v>1.7946556866577888E-2</v>
      </c>
      <c r="Y26" s="480">
        <v>0.29484058829161042</v>
      </c>
      <c r="Z26" s="480">
        <v>0.2980333920645622</v>
      </c>
      <c r="AA26" s="481">
        <v>0.76937853722056604</v>
      </c>
      <c r="AB26" s="480"/>
      <c r="AC26" s="480"/>
      <c r="AD26" s="480"/>
      <c r="AE26" s="482"/>
      <c r="AF26" s="480"/>
      <c r="AG26" s="510"/>
      <c r="AI26" s="428" t="s">
        <v>374</v>
      </c>
      <c r="AJ26" s="445" t="s">
        <v>346</v>
      </c>
      <c r="AK26" s="424" t="s">
        <v>346</v>
      </c>
      <c r="AL26" s="424" t="s">
        <v>346</v>
      </c>
      <c r="AM26" s="424">
        <v>0</v>
      </c>
      <c r="AN26" s="424">
        <v>0</v>
      </c>
      <c r="AO26" s="443"/>
      <c r="AP26" s="431" t="s">
        <v>375</v>
      </c>
      <c r="AQ26" s="447">
        <f>AQ25*(1+AQ22)</f>
        <v>-54133672.772627234</v>
      </c>
    </row>
    <row r="27" spans="1:43" s="479" customFormat="1" x14ac:dyDescent="0.35">
      <c r="A27" s="511"/>
      <c r="B27" s="508"/>
      <c r="C27" s="511"/>
      <c r="D27" s="511"/>
      <c r="E27" s="511"/>
      <c r="F27" s="511"/>
      <c r="G27" s="511"/>
      <c r="H27" s="511"/>
      <c r="I27" s="511"/>
      <c r="J27" s="512"/>
      <c r="L27" s="479">
        <v>3</v>
      </c>
      <c r="M27" s="480">
        <v>10.083528004486974</v>
      </c>
      <c r="N27" s="480">
        <v>1.3616281425079206</v>
      </c>
      <c r="O27" s="480">
        <v>12.629348731119816</v>
      </c>
      <c r="P27" s="480">
        <v>1.5597360741229473</v>
      </c>
      <c r="Q27" s="480">
        <v>1.3359224321214804</v>
      </c>
      <c r="R27" s="480">
        <v>33.892308948617249</v>
      </c>
      <c r="S27" s="480">
        <v>34.565969444536861</v>
      </c>
      <c r="T27" s="480">
        <v>306.36965135543181</v>
      </c>
      <c r="U27" s="480">
        <v>312.43031248902543</v>
      </c>
      <c r="V27" s="480">
        <v>0.12972369622759142</v>
      </c>
      <c r="W27" s="480">
        <v>0.13250098141773095</v>
      </c>
      <c r="X27" s="480">
        <v>2.630353029104331E-2</v>
      </c>
      <c r="Y27" s="480">
        <v>0.43549440430710229</v>
      </c>
      <c r="Z27" s="480">
        <v>0.44493906944608397</v>
      </c>
      <c r="AA27" s="481">
        <v>1.135080174068603</v>
      </c>
      <c r="AB27" s="480"/>
      <c r="AC27" s="480"/>
      <c r="AD27" s="480"/>
      <c r="AE27" s="482"/>
      <c r="AF27" s="480"/>
      <c r="AG27" s="510"/>
      <c r="AI27" s="428" t="s">
        <v>376</v>
      </c>
      <c r="AJ27" s="425" cm="1">
        <f t="array" ref="AJ27">INDEX($M$2:$M$21,$B$3)*$AQ$27+INDEX($O$2:$O$21,$B$3)*$AQ$28</f>
        <v>222623276.07339099</v>
      </c>
      <c r="AK27" s="424" t="s">
        <v>346</v>
      </c>
      <c r="AL27" s="424" t="s">
        <v>346</v>
      </c>
      <c r="AM27" s="425">
        <f>AJ27</f>
        <v>222623276.07339099</v>
      </c>
      <c r="AN27" s="424">
        <f>AJ27</f>
        <v>222623276.07339099</v>
      </c>
      <c r="AO27" s="443"/>
      <c r="AP27" s="431" t="s">
        <v>377</v>
      </c>
      <c r="AQ27" s="448">
        <f>E3*C13</f>
        <v>7000479.0838842979</v>
      </c>
    </row>
    <row r="28" spans="1:43" s="479" customFormat="1" x14ac:dyDescent="0.35">
      <c r="B28" s="511"/>
      <c r="J28" s="497"/>
      <c r="L28" s="479">
        <v>4</v>
      </c>
      <c r="M28" s="480">
        <v>13.337904875664094</v>
      </c>
      <c r="N28" s="480">
        <v>1.8030491459182314</v>
      </c>
      <c r="O28" s="480">
        <v>16.705368591460111</v>
      </c>
      <c r="P28" s="480">
        <v>2.0653809278100139</v>
      </c>
      <c r="Q28" s="480">
        <v>1.7693450682463212</v>
      </c>
      <c r="R28" s="480">
        <v>44.548492267985893</v>
      </c>
      <c r="S28" s="480">
        <v>45.878904689863326</v>
      </c>
      <c r="T28" s="480">
        <v>401.35024529008956</v>
      </c>
      <c r="U28" s="480">
        <v>413.26466157463153</v>
      </c>
      <c r="V28" s="480">
        <v>0.16754875905686878</v>
      </c>
      <c r="W28" s="480">
        <v>0.17287576888229481</v>
      </c>
      <c r="X28" s="480">
        <v>3.4045886969782023E-2</v>
      </c>
      <c r="Y28" s="480">
        <v>0.57076730383259544</v>
      </c>
      <c r="Z28" s="480">
        <v>0.58933049035946017</v>
      </c>
      <c r="AA28" s="481">
        <v>1.4787251310355951</v>
      </c>
      <c r="AB28" s="480"/>
      <c r="AC28" s="480"/>
      <c r="AD28" s="480"/>
      <c r="AE28" s="482"/>
      <c r="AF28" s="480"/>
      <c r="AG28" s="510"/>
      <c r="AI28" s="428" t="s">
        <v>378</v>
      </c>
      <c r="AJ28" s="424" t="s">
        <v>346</v>
      </c>
      <c r="AK28" s="424">
        <v>0</v>
      </c>
      <c r="AL28" s="424">
        <v>0</v>
      </c>
      <c r="AM28" s="424">
        <v>0</v>
      </c>
      <c r="AN28" s="424">
        <v>0</v>
      </c>
      <c r="AO28" s="443"/>
      <c r="AP28" s="431" t="s">
        <v>379</v>
      </c>
      <c r="AQ28" s="448">
        <f>F4*C14</f>
        <v>0</v>
      </c>
    </row>
    <row r="29" spans="1:43" s="479" customFormat="1" x14ac:dyDescent="0.35">
      <c r="J29" s="497"/>
      <c r="L29" s="479">
        <v>5</v>
      </c>
      <c r="M29" s="480">
        <v>16.540299928472944</v>
      </c>
      <c r="N29" s="480">
        <v>2.238111460241349</v>
      </c>
      <c r="O29" s="480">
        <v>20.716282616664284</v>
      </c>
      <c r="P29" s="480">
        <v>2.5637419450047183</v>
      </c>
      <c r="Q29" s="480">
        <v>2.1966645294373288</v>
      </c>
      <c r="R29" s="480">
        <v>54.899288667402999</v>
      </c>
      <c r="S29" s="480">
        <v>57.088895509917705</v>
      </c>
      <c r="T29" s="480">
        <v>492.96893359392294</v>
      </c>
      <c r="U29" s="480">
        <v>512.48839424212292</v>
      </c>
      <c r="V29" s="480">
        <v>0.20315734715437794</v>
      </c>
      <c r="W29" s="480">
        <v>0.21172020983223541</v>
      </c>
      <c r="X29" s="480">
        <v>4.1210602543646446E-2</v>
      </c>
      <c r="Y29" s="480">
        <v>0.7001484062415726</v>
      </c>
      <c r="Z29" s="480">
        <v>0.73046881852909873</v>
      </c>
      <c r="AA29" s="481">
        <v>1.8013793011560271</v>
      </c>
      <c r="AB29" s="480"/>
      <c r="AC29" s="480"/>
      <c r="AD29" s="480"/>
      <c r="AE29" s="482"/>
      <c r="AF29" s="480"/>
      <c r="AG29" s="510"/>
      <c r="AI29" s="428" t="s">
        <v>380</v>
      </c>
      <c r="AJ29" s="449" t="s">
        <v>346</v>
      </c>
      <c r="AK29" s="424">
        <v>0</v>
      </c>
      <c r="AL29" s="424">
        <v>0</v>
      </c>
      <c r="AM29" s="424">
        <v>0</v>
      </c>
      <c r="AN29" s="424">
        <v>0</v>
      </c>
      <c r="AO29" s="443"/>
      <c r="AP29" s="431" t="s">
        <v>381</v>
      </c>
      <c r="AQ29" s="440">
        <f>C13</f>
        <v>13099</v>
      </c>
    </row>
    <row r="30" spans="1:43" s="479" customFormat="1" ht="15" thickBot="1" x14ac:dyDescent="0.4">
      <c r="J30" s="497"/>
      <c r="L30" s="479">
        <v>6</v>
      </c>
      <c r="M30" s="480">
        <v>19.691543463013311</v>
      </c>
      <c r="N30" s="480">
        <v>2.6667708672648023</v>
      </c>
      <c r="O30" s="480">
        <v>24.663130735367133</v>
      </c>
      <c r="P30" s="480">
        <v>3.0547684740357472</v>
      </c>
      <c r="Q30" s="480">
        <v>2.6178284348808116</v>
      </c>
      <c r="R30" s="480">
        <v>64.953449983063805</v>
      </c>
      <c r="S30" s="480">
        <v>68.196878669073243</v>
      </c>
      <c r="T30" s="480">
        <v>581.3447133062466</v>
      </c>
      <c r="U30" s="480">
        <v>610.12723669759725</v>
      </c>
      <c r="V30" s="480">
        <v>0.23377886156012639</v>
      </c>
      <c r="W30" s="480">
        <v>0.24585870056965009</v>
      </c>
      <c r="X30" s="480">
        <v>4.5928131924053928E-2</v>
      </c>
      <c r="Y30" s="480">
        <v>0.82392089921033163</v>
      </c>
      <c r="Z30" s="480">
        <v>0.8684569679319083</v>
      </c>
      <c r="AA30" s="481">
        <v>2.0170007940399963</v>
      </c>
      <c r="AB30" s="480"/>
      <c r="AC30" s="480"/>
      <c r="AD30" s="480"/>
      <c r="AE30" s="482"/>
      <c r="AF30" s="480"/>
      <c r="AG30" s="510"/>
      <c r="AI30" s="434" t="s">
        <v>354</v>
      </c>
      <c r="AJ30" s="436">
        <f t="shared" ref="AJ30:AN30" si="5">SUM(AJ22:AJ29)</f>
        <v>222623276.07339099</v>
      </c>
      <c r="AK30" s="436">
        <f t="shared" si="5"/>
        <v>0</v>
      </c>
      <c r="AL30" s="436">
        <f t="shared" si="5"/>
        <v>0</v>
      </c>
      <c r="AM30" s="436">
        <f t="shared" si="5"/>
        <v>248451422.80601084</v>
      </c>
      <c r="AN30" s="436">
        <f t="shared" si="5"/>
        <v>248451422.80601084</v>
      </c>
      <c r="AO30" s="443"/>
      <c r="AP30" s="431" t="s">
        <v>382</v>
      </c>
      <c r="AQ30" s="440">
        <f>C14</f>
        <v>0</v>
      </c>
    </row>
    <row r="31" spans="1:43" s="479" customFormat="1" x14ac:dyDescent="0.35">
      <c r="J31" s="497"/>
      <c r="L31" s="479">
        <v>7</v>
      </c>
      <c r="M31" s="480">
        <v>22.792452517089092</v>
      </c>
      <c r="N31" s="480">
        <v>3.0889924632022896</v>
      </c>
      <c r="O31" s="480">
        <v>28.546936265533102</v>
      </c>
      <c r="P31" s="480">
        <v>3.5384205328456519</v>
      </c>
      <c r="Q31" s="480">
        <v>3.0327939789499827</v>
      </c>
      <c r="R31" s="480">
        <v>74.719477239384162</v>
      </c>
      <c r="S31" s="480">
        <v>79.203782407419425</v>
      </c>
      <c r="T31" s="480">
        <v>666.59236948159014</v>
      </c>
      <c r="U31" s="480">
        <v>706.20650422517679</v>
      </c>
      <c r="V31" s="480">
        <v>0.26289034362363389</v>
      </c>
      <c r="W31" s="480">
        <v>0.27902717510189307</v>
      </c>
      <c r="X31" s="480">
        <v>5.0362743071878407E-2</v>
      </c>
      <c r="Y31" s="480">
        <v>0.94312935867073611</v>
      </c>
      <c r="Z31" s="480">
        <v>1.0042783851656536</v>
      </c>
      <c r="AA31" s="481">
        <v>2.2227816148960509</v>
      </c>
      <c r="AB31" s="480"/>
      <c r="AC31" s="480"/>
      <c r="AD31" s="480"/>
      <c r="AE31" s="482"/>
      <c r="AF31" s="480"/>
      <c r="AG31" s="510"/>
      <c r="AI31" s="421" t="s">
        <v>383</v>
      </c>
      <c r="AJ31" s="429"/>
      <c r="AK31" s="429"/>
      <c r="AL31" s="429"/>
      <c r="AM31" s="429"/>
      <c r="AN31" s="429"/>
      <c r="AO31" s="443"/>
    </row>
    <row r="32" spans="1:43" s="479" customFormat="1" x14ac:dyDescent="0.35">
      <c r="J32" s="497"/>
      <c r="L32" s="479">
        <v>8</v>
      </c>
      <c r="M32" s="480">
        <v>25.843831078045561</v>
      </c>
      <c r="N32" s="480">
        <v>3.5047501087064563</v>
      </c>
      <c r="O32" s="480">
        <v>32.368706179776765</v>
      </c>
      <c r="P32" s="480">
        <v>4.0146681789841026</v>
      </c>
      <c r="Q32" s="480">
        <v>3.4415273728875313</v>
      </c>
      <c r="R32" s="480">
        <v>84.205627836812056</v>
      </c>
      <c r="S32" s="480">
        <v>90.110526518330516</v>
      </c>
      <c r="T32" s="480">
        <v>748.8226242758933</v>
      </c>
      <c r="U32" s="480">
        <v>800.75110775062171</v>
      </c>
      <c r="V32" s="480">
        <v>0.28942264687283764</v>
      </c>
      <c r="W32" s="480">
        <v>0.30992156797301174</v>
      </c>
      <c r="X32" s="480">
        <v>5.4157102319806125E-2</v>
      </c>
      <c r="Y32" s="480">
        <v>1.0580060895024885</v>
      </c>
      <c r="Z32" s="480">
        <v>1.138041625421564</v>
      </c>
      <c r="AA32" s="481">
        <v>2.401590047714651</v>
      </c>
      <c r="AB32" s="480"/>
      <c r="AC32" s="480"/>
      <c r="AD32" s="480"/>
      <c r="AE32" s="482"/>
      <c r="AF32" s="480"/>
      <c r="AG32" s="510"/>
      <c r="AI32" s="428" t="s">
        <v>384</v>
      </c>
      <c r="AJ32" s="425" cm="1">
        <f t="array" ref="AJ32">(INDEX($Z$2:$Z$21,$B$3)*$AQ$26)*(1-C17)+(INDEX($Z$2:$Z$21,$B$3)*$AQ$26)*(C17)*C20</f>
        <v>-70162849.677091256</v>
      </c>
      <c r="AK32" s="424" t="s">
        <v>346</v>
      </c>
      <c r="AL32" s="425" cm="1">
        <f t="array" ref="AL32">(INDEX($Y$2:$Y$21,$B$3)*$AQ$26*-1)*(1-C17)+(INDEX($Y$2:$Y$21,$B$3)*$AQ$26*-1)*C17*C20</f>
        <v>63934663.943038277</v>
      </c>
      <c r="AM32" s="424" t="s">
        <v>346</v>
      </c>
      <c r="AN32" s="424" t="s">
        <v>346</v>
      </c>
      <c r="AO32" s="443"/>
      <c r="AP32" s="420" t="s">
        <v>385</v>
      </c>
      <c r="AQ32" s="419"/>
    </row>
    <row r="33" spans="10:43" s="479" customFormat="1" x14ac:dyDescent="0.35">
      <c r="J33" s="497"/>
      <c r="L33" s="479">
        <v>9</v>
      </c>
      <c r="M33" s="480">
        <v>28.846470291222957</v>
      </c>
      <c r="N33" s="480">
        <v>3.9140259045155412</v>
      </c>
      <c r="O33" s="480">
        <v>36.129431366445388</v>
      </c>
      <c r="P33" s="480">
        <v>4.483490908964578</v>
      </c>
      <c r="Q33" s="480">
        <v>3.8440033123881765</v>
      </c>
      <c r="R33" s="480">
        <v>93.419922533649412</v>
      </c>
      <c r="S33" s="480">
        <v>100.91802242532819</v>
      </c>
      <c r="T33" s="480">
        <v>828.1422807556894</v>
      </c>
      <c r="U33" s="480">
        <v>893.78556030010361</v>
      </c>
      <c r="V33" s="480">
        <v>0.31761005009828547</v>
      </c>
      <c r="W33" s="480">
        <v>0.34346467679439852</v>
      </c>
      <c r="X33" s="480">
        <v>5.9399029086540815E-2</v>
      </c>
      <c r="Y33" s="480">
        <v>1.1687336593463444</v>
      </c>
      <c r="Z33" s="480">
        <v>1.2698078223675457</v>
      </c>
      <c r="AA33" s="481">
        <v>2.652527036092025</v>
      </c>
      <c r="AB33" s="480"/>
      <c r="AC33" s="480"/>
      <c r="AD33" s="480"/>
      <c r="AE33" s="482"/>
      <c r="AF33" s="480"/>
      <c r="AG33" s="510"/>
      <c r="AI33" s="428" t="s">
        <v>386</v>
      </c>
      <c r="AJ33" s="425">
        <v>0</v>
      </c>
      <c r="AK33" s="424" t="s">
        <v>346</v>
      </c>
      <c r="AL33" s="424" t="s">
        <v>346</v>
      </c>
      <c r="AM33" s="424" t="s">
        <v>346</v>
      </c>
      <c r="AN33" s="424" t="s">
        <v>346</v>
      </c>
      <c r="AO33" s="443"/>
      <c r="AP33" s="422"/>
      <c r="AQ33" s="450"/>
    </row>
    <row r="34" spans="10:43" s="479" customFormat="1" x14ac:dyDescent="0.35">
      <c r="J34" s="497"/>
      <c r="L34" s="479">
        <v>10</v>
      </c>
      <c r="M34" s="480">
        <v>31.801148665080483</v>
      </c>
      <c r="N34" s="480">
        <v>4.3168096916573857</v>
      </c>
      <c r="O34" s="480">
        <v>39.830086886531213</v>
      </c>
      <c r="P34" s="480">
        <v>4.9448770857513429</v>
      </c>
      <c r="Q34" s="480">
        <v>4.2402044699961969</v>
      </c>
      <c r="R34" s="480">
        <v>102.3701522277875</v>
      </c>
      <c r="S34" s="480">
        <v>111.62717325824475</v>
      </c>
      <c r="T34" s="480">
        <v>904.65436161706043</v>
      </c>
      <c r="U34" s="480">
        <v>985.33398335581353</v>
      </c>
      <c r="V34" s="480">
        <v>0.34430822910346998</v>
      </c>
      <c r="W34" s="480">
        <v>0.37593401328383191</v>
      </c>
      <c r="X34" s="480">
        <v>6.4932832851415462E-2</v>
      </c>
      <c r="Y34" s="480">
        <v>1.2755288839122427</v>
      </c>
      <c r="Z34" s="480">
        <v>1.3996882191249946</v>
      </c>
      <c r="AA34" s="481">
        <v>2.9217062790320516</v>
      </c>
      <c r="AB34" s="480"/>
      <c r="AC34" s="480"/>
      <c r="AD34" s="480"/>
      <c r="AE34" s="482"/>
      <c r="AF34" s="480"/>
      <c r="AG34" s="510"/>
      <c r="AI34" s="428" t="s">
        <v>387</v>
      </c>
      <c r="AJ34" s="425">
        <f>-1*AK44</f>
        <v>0</v>
      </c>
      <c r="AK34" s="424" t="s">
        <v>346</v>
      </c>
      <c r="AL34" s="424" t="s">
        <v>346</v>
      </c>
      <c r="AM34" s="451">
        <f>AJ34</f>
        <v>0</v>
      </c>
      <c r="AN34" s="424" t="s">
        <v>346</v>
      </c>
      <c r="AO34" s="443"/>
      <c r="AP34" s="426"/>
      <c r="AQ34" s="452"/>
    </row>
    <row r="35" spans="10:43" s="479" customFormat="1" x14ac:dyDescent="0.35">
      <c r="J35" s="497"/>
      <c r="L35" s="479">
        <v>11</v>
      </c>
      <c r="M35" s="480">
        <v>34.708632273043868</v>
      </c>
      <c r="N35" s="480">
        <v>4.7130985751769092</v>
      </c>
      <c r="O35" s="480">
        <v>43.471632226480139</v>
      </c>
      <c r="P35" s="480">
        <v>5.3988233931924077</v>
      </c>
      <c r="Q35" s="480">
        <v>4.6301210112758131</v>
      </c>
      <c r="R35" s="480">
        <v>111.06388454409016</v>
      </c>
      <c r="S35" s="480">
        <v>122.23887392869335</v>
      </c>
      <c r="T35" s="480">
        <v>978.45824299453579</v>
      </c>
      <c r="U35" s="480">
        <v>1075.4201131100529</v>
      </c>
      <c r="V35" s="480">
        <v>0.37125445047007605</v>
      </c>
      <c r="W35" s="480">
        <v>0.4094254036249183</v>
      </c>
      <c r="X35" s="480">
        <v>7.1166061476047537E-2</v>
      </c>
      <c r="Y35" s="480">
        <v>1.3784358928652582</v>
      </c>
      <c r="Z35" s="480">
        <v>1.5275910801157493</v>
      </c>
      <c r="AA35" s="481">
        <v>3.229876706192818</v>
      </c>
      <c r="AB35" s="480"/>
      <c r="AC35" s="480"/>
      <c r="AD35" s="480"/>
      <c r="AE35" s="482"/>
      <c r="AF35" s="480"/>
      <c r="AG35" s="510"/>
      <c r="AI35" s="428" t="s">
        <v>388</v>
      </c>
      <c r="AJ35" s="425">
        <f>(I3*C13+I4*C14)*-1</f>
        <v>-222683000</v>
      </c>
      <c r="AK35" s="424" t="s">
        <v>346</v>
      </c>
      <c r="AL35" s="424" t="s">
        <v>346</v>
      </c>
      <c r="AM35" s="445">
        <f>AJ35</f>
        <v>-222683000</v>
      </c>
      <c r="AN35" s="424" t="s">
        <v>346</v>
      </c>
      <c r="AO35" s="443"/>
      <c r="AP35" s="426" t="s">
        <v>389</v>
      </c>
      <c r="AQ35" s="452">
        <f>$AA$2*$AQ$26/2000</f>
        <v>-16121.355966123672</v>
      </c>
    </row>
    <row r="36" spans="10:43" s="479" customFormat="1" x14ac:dyDescent="0.35">
      <c r="J36" s="497"/>
      <c r="L36" s="479">
        <v>12</v>
      </c>
      <c r="M36" s="480">
        <v>37.569674952128842</v>
      </c>
      <c r="N36" s="480">
        <v>5.1028964703941693</v>
      </c>
      <c r="O36" s="480">
        <v>47.055011546962312</v>
      </c>
      <c r="P36" s="480">
        <v>5.8453343162611278</v>
      </c>
      <c r="Q36" s="480">
        <v>5.0137501337535708</v>
      </c>
      <c r="R36" s="480">
        <v>119.50847023299451</v>
      </c>
      <c r="S36" s="480">
        <v>132.75401120485131</v>
      </c>
      <c r="T36" s="480">
        <v>1049.6497835337309</v>
      </c>
      <c r="U36" s="480">
        <v>1164.0673066194277</v>
      </c>
      <c r="V36" s="480">
        <v>0.39631810711831161</v>
      </c>
      <c r="W36" s="480">
        <v>0.44126175332715345</v>
      </c>
      <c r="X36" s="480">
        <v>7.685490962344764E-2</v>
      </c>
      <c r="Y36" s="480">
        <v>1.477705339128738</v>
      </c>
      <c r="Z36" s="480">
        <v>1.6536850834907064</v>
      </c>
      <c r="AA36" s="481">
        <v>3.5158165301192108</v>
      </c>
      <c r="AB36" s="480"/>
      <c r="AC36" s="480"/>
      <c r="AD36" s="480"/>
      <c r="AE36" s="482"/>
      <c r="AF36" s="480"/>
      <c r="AG36" s="510"/>
      <c r="AI36" s="453" t="s">
        <v>390</v>
      </c>
      <c r="AJ36" s="425">
        <f>PV(AF2,B3,-G3)*C13+PV(AF2,B4,-G4)*C14</f>
        <v>83544180.747973055</v>
      </c>
      <c r="AK36" s="424" t="s">
        <v>346</v>
      </c>
      <c r="AL36" s="449" t="s">
        <v>346</v>
      </c>
      <c r="AM36" s="445">
        <f>AJ36</f>
        <v>83544180.747973055</v>
      </c>
      <c r="AN36" s="424" t="s">
        <v>346</v>
      </c>
      <c r="AO36" s="443"/>
      <c r="AP36" s="426"/>
      <c r="AQ36" s="452"/>
    </row>
    <row r="37" spans="10:43" s="479" customFormat="1" ht="15" thickBot="1" x14ac:dyDescent="0.4">
      <c r="J37" s="497"/>
      <c r="L37" s="479">
        <v>13</v>
      </c>
      <c r="M37" s="480">
        <v>40.385018498392036</v>
      </c>
      <c r="N37" s="480">
        <v>5.4862136707395353</v>
      </c>
      <c r="O37" s="480">
        <v>50.581153927669114</v>
      </c>
      <c r="P37" s="480">
        <v>6.2844216460142315</v>
      </c>
      <c r="Q37" s="480">
        <v>5.3910956276715378</v>
      </c>
      <c r="R37" s="480">
        <v>127.71104938573932</v>
      </c>
      <c r="S37" s="480">
        <v>143.17346378556309</v>
      </c>
      <c r="T37" s="480">
        <v>1118.3214488953668</v>
      </c>
      <c r="U37" s="480">
        <v>1251.2985478607438</v>
      </c>
      <c r="V37" s="480">
        <v>0.42040470363153437</v>
      </c>
      <c r="W37" s="480">
        <v>0.47252958764538222</v>
      </c>
      <c r="X37" s="480">
        <v>8.1980736014493474E-2</v>
      </c>
      <c r="Y37" s="480">
        <v>1.5736018940912584</v>
      </c>
      <c r="Z37" s="480">
        <v>1.7781724759129167</v>
      </c>
      <c r="AA37" s="481">
        <v>3.7778129634580302</v>
      </c>
      <c r="AB37" s="480"/>
      <c r="AC37" s="480"/>
      <c r="AD37" s="480"/>
      <c r="AE37" s="482"/>
      <c r="AF37" s="480"/>
      <c r="AG37" s="510"/>
      <c r="AI37" s="434" t="s">
        <v>354</v>
      </c>
      <c r="AJ37" s="454">
        <f>SUM(AJ32:AJ36)</f>
        <v>-209301668.92911819</v>
      </c>
      <c r="AK37" s="455" t="s">
        <v>346</v>
      </c>
      <c r="AL37" s="456">
        <f>AL32</f>
        <v>63934663.943038277</v>
      </c>
      <c r="AM37" s="456">
        <f>SUM(AM34:AM36)</f>
        <v>-139138819.25202695</v>
      </c>
      <c r="AN37" s="455" t="s">
        <v>346</v>
      </c>
      <c r="AO37" s="443"/>
      <c r="AP37" s="426" t="s">
        <v>391</v>
      </c>
      <c r="AQ37" s="452">
        <f>AQ27*AB2/2000+AQ28*AD2/2000</f>
        <v>68578.433502442465</v>
      </c>
    </row>
    <row r="38" spans="10:43" s="479" customFormat="1" x14ac:dyDescent="0.35">
      <c r="J38" s="497"/>
      <c r="L38" s="479">
        <v>14</v>
      </c>
      <c r="M38" s="480">
        <v>43.155392859259933</v>
      </c>
      <c r="N38" s="480">
        <v>5.863066436250441</v>
      </c>
      <c r="O38" s="480">
        <v>54.05097360820006</v>
      </c>
      <c r="P38" s="480">
        <v>6.716104008217564</v>
      </c>
      <c r="Q38" s="480">
        <v>5.7621674576283297</v>
      </c>
      <c r="R38" s="480">
        <v>135.67855747147627</v>
      </c>
      <c r="S38" s="480">
        <v>153.49810237376892</v>
      </c>
      <c r="T38" s="480">
        <v>1184.5624318523821</v>
      </c>
      <c r="U38" s="480">
        <v>1337.1364536901706</v>
      </c>
      <c r="V38" s="480">
        <v>0.44360685138437617</v>
      </c>
      <c r="W38" s="480">
        <v>0.50331139266401981</v>
      </c>
      <c r="X38" s="480">
        <v>8.6873860276136763E-2</v>
      </c>
      <c r="Y38" s="480">
        <v>1.6660356944205703</v>
      </c>
      <c r="Z38" s="480">
        <v>1.9008024690143128</v>
      </c>
      <c r="AA38" s="481">
        <v>4.032205480318094</v>
      </c>
      <c r="AB38" s="480"/>
      <c r="AC38" s="480"/>
      <c r="AD38" s="480"/>
      <c r="AE38" s="482"/>
      <c r="AF38" s="480"/>
      <c r="AG38" s="510"/>
      <c r="AI38" s="421" t="s">
        <v>392</v>
      </c>
      <c r="AJ38" s="457"/>
      <c r="AK38" s="458"/>
      <c r="AL38" s="457"/>
      <c r="AM38" s="457"/>
      <c r="AN38" s="459"/>
      <c r="AO38" s="443"/>
      <c r="AP38" s="460" t="s">
        <v>393</v>
      </c>
      <c r="AQ38" s="461">
        <f>SUM(AQ35:AQ37)</f>
        <v>52457.077536318793</v>
      </c>
    </row>
    <row r="39" spans="10:43" s="479" customFormat="1" x14ac:dyDescent="0.35">
      <c r="J39" s="497"/>
      <c r="L39" s="479">
        <v>15</v>
      </c>
      <c r="M39" s="480">
        <v>45.881516322785799</v>
      </c>
      <c r="N39" s="480">
        <v>6.2335387825062849</v>
      </c>
      <c r="O39" s="480">
        <v>57.465370225101999</v>
      </c>
      <c r="P39" s="480">
        <v>7.1404776421642824</v>
      </c>
      <c r="Q39" s="480">
        <v>6.1269813642216553</v>
      </c>
      <c r="R39" s="480">
        <v>143.41773120136841</v>
      </c>
      <c r="S39" s="480">
        <v>163.72878974926502</v>
      </c>
      <c r="T39" s="480">
        <v>1248.4587681361229</v>
      </c>
      <c r="U39" s="480">
        <v>1421.6032797072203</v>
      </c>
      <c r="V39" s="480">
        <v>0.46560203344892237</v>
      </c>
      <c r="W39" s="480">
        <v>0.53313340780547647</v>
      </c>
      <c r="X39" s="480">
        <v>9.1593588058666214E-2</v>
      </c>
      <c r="Y39" s="480">
        <v>1.7543343392149138</v>
      </c>
      <c r="Z39" s="480">
        <v>2.0205215745120353</v>
      </c>
      <c r="AA39" s="481">
        <v>4.2818091400869731</v>
      </c>
      <c r="AB39" s="480"/>
      <c r="AC39" s="480"/>
      <c r="AD39" s="480"/>
      <c r="AE39" s="482"/>
      <c r="AF39" s="480"/>
      <c r="AG39" s="510"/>
      <c r="AI39" s="420" t="s">
        <v>394</v>
      </c>
      <c r="AJ39" s="445"/>
      <c r="AK39" s="445"/>
      <c r="AL39" s="445"/>
      <c r="AM39" s="445"/>
      <c r="AN39" s="445"/>
      <c r="AO39" s="443"/>
      <c r="AP39" s="443"/>
      <c r="AQ39" s="443"/>
    </row>
    <row r="40" spans="10:43" s="479" customFormat="1" x14ac:dyDescent="0.35">
      <c r="J40" s="497"/>
      <c r="L40" s="479">
        <v>16</v>
      </c>
      <c r="M40" s="480">
        <v>48.564095703883609</v>
      </c>
      <c r="N40" s="480">
        <v>6.5975935794692369</v>
      </c>
      <c r="O40" s="480">
        <v>60.825229045122157</v>
      </c>
      <c r="P40" s="480">
        <v>7.5575000156404668</v>
      </c>
      <c r="Q40" s="480">
        <v>6.4856186790869437</v>
      </c>
      <c r="R40" s="480">
        <v>150.9351142246343</v>
      </c>
      <c r="S40" s="480">
        <v>173.86638084080212</v>
      </c>
      <c r="T40" s="480">
        <v>1310.0934481820734</v>
      </c>
      <c r="U40" s="480">
        <v>1504.7209260250625</v>
      </c>
      <c r="V40" s="480">
        <v>0.48642009587887863</v>
      </c>
      <c r="W40" s="480">
        <v>0.561979916786566</v>
      </c>
      <c r="X40" s="480">
        <v>9.6422976024377716E-2</v>
      </c>
      <c r="Y40" s="480">
        <v>1.8390139841068962</v>
      </c>
      <c r="Z40" s="480">
        <v>2.1378577649049078</v>
      </c>
      <c r="AA40" s="481">
        <v>4.541714437565112</v>
      </c>
      <c r="AB40" s="480"/>
      <c r="AC40" s="480"/>
      <c r="AD40" s="480"/>
      <c r="AE40" s="482"/>
      <c r="AF40" s="480"/>
      <c r="AG40" s="510"/>
      <c r="AI40" s="515" t="s">
        <v>395</v>
      </c>
      <c r="AJ40" s="424" t="s">
        <v>346</v>
      </c>
      <c r="AK40" s="462">
        <f>C10</f>
        <v>3796708.1989438348</v>
      </c>
      <c r="AL40" s="429">
        <f>AK40</f>
        <v>3796708.1989438348</v>
      </c>
      <c r="AM40" s="429">
        <f>AL40</f>
        <v>3796708.1989438348</v>
      </c>
      <c r="AN40" s="429">
        <f>AM40</f>
        <v>3796708.1989438348</v>
      </c>
      <c r="AO40" s="443"/>
      <c r="AP40" s="420" t="s">
        <v>396</v>
      </c>
      <c r="AQ40" s="463"/>
    </row>
    <row r="41" spans="10:43" s="479" customFormat="1" x14ac:dyDescent="0.35">
      <c r="J41" s="497"/>
      <c r="L41" s="479">
        <v>17</v>
      </c>
      <c r="M41" s="480">
        <v>51.20382652758731</v>
      </c>
      <c r="N41" s="480">
        <v>6.9552627750748668</v>
      </c>
      <c r="O41" s="480">
        <v>64.13142119473541</v>
      </c>
      <c r="P41" s="480">
        <v>7.96720772479601</v>
      </c>
      <c r="Q41" s="480">
        <v>6.8380434583347203</v>
      </c>
      <c r="R41" s="480">
        <v>158.23706266135378</v>
      </c>
      <c r="S41" s="480">
        <v>183.91172279752755</v>
      </c>
      <c r="T41" s="480">
        <v>1369.5465249202673</v>
      </c>
      <c r="U41" s="480">
        <v>1586.5109429486699</v>
      </c>
      <c r="V41" s="480">
        <v>0.50715908242118923</v>
      </c>
      <c r="W41" s="480">
        <v>0.5913485689580904</v>
      </c>
      <c r="X41" s="480">
        <v>0.10116866707916362</v>
      </c>
      <c r="Y41" s="480">
        <v>1.9207606316666057</v>
      </c>
      <c r="Z41" s="480">
        <v>2.2536198757231651</v>
      </c>
      <c r="AA41" s="481">
        <v>4.8016751497274921</v>
      </c>
      <c r="AB41" s="480"/>
      <c r="AC41" s="480"/>
      <c r="AD41" s="480"/>
      <c r="AE41" s="482"/>
      <c r="AF41" s="480"/>
      <c r="AG41" s="510"/>
      <c r="AI41" s="428" t="s">
        <v>397</v>
      </c>
      <c r="AJ41" s="424" t="s">
        <v>346</v>
      </c>
      <c r="AK41" s="425">
        <f>C7*-1</f>
        <v>0</v>
      </c>
      <c r="AL41" s="429">
        <f t="shared" ref="AL41:AL45" si="6">AK41</f>
        <v>0</v>
      </c>
      <c r="AM41" s="429">
        <f>AL41</f>
        <v>0</v>
      </c>
      <c r="AN41" s="429">
        <f t="shared" ref="AN41:AN45" si="7">AM41</f>
        <v>0</v>
      </c>
      <c r="AO41" s="443"/>
      <c r="AP41" s="422"/>
      <c r="AQ41" s="450"/>
    </row>
    <row r="42" spans="10:43" s="479" customFormat="1" x14ac:dyDescent="0.35">
      <c r="J42" s="497"/>
      <c r="L42" s="479">
        <v>18</v>
      </c>
      <c r="M42" s="480">
        <v>53.801393209382873</v>
      </c>
      <c r="N42" s="480">
        <v>7.3065828253783351</v>
      </c>
      <c r="O42" s="480">
        <v>67.384803886005372</v>
      </c>
      <c r="P42" s="480">
        <v>8.3696425298021211</v>
      </c>
      <c r="Q42" s="480">
        <v>7.1842866292985432</v>
      </c>
      <c r="R42" s="480">
        <v>165.32975047671346</v>
      </c>
      <c r="S42" s="480">
        <v>193.86565505977745</v>
      </c>
      <c r="T42" s="480">
        <v>1426.8952177503811</v>
      </c>
      <c r="U42" s="480">
        <v>1666.9945365622682</v>
      </c>
      <c r="V42" s="480">
        <v>0.52639819103826813</v>
      </c>
      <c r="W42" s="480">
        <v>0.6191921418216102</v>
      </c>
      <c r="X42" s="480">
        <v>0.10553261768369165</v>
      </c>
      <c r="Y42" s="480">
        <v>1.9994270622985497</v>
      </c>
      <c r="Z42" s="480">
        <v>2.3674689389416734</v>
      </c>
      <c r="AA42" s="481">
        <v>5.0450449489264315</v>
      </c>
      <c r="AB42" s="480"/>
      <c r="AC42" s="480"/>
      <c r="AD42" s="480"/>
      <c r="AE42" s="482"/>
      <c r="AF42" s="480"/>
      <c r="AG42" s="510"/>
      <c r="AI42" s="428" t="s">
        <v>398</v>
      </c>
      <c r="AJ42" s="424" t="s">
        <v>346</v>
      </c>
      <c r="AK42" s="425">
        <f>D7*-1</f>
        <v>0</v>
      </c>
      <c r="AL42" s="429">
        <f t="shared" si="6"/>
        <v>0</v>
      </c>
      <c r="AM42" s="429">
        <f>AL42</f>
        <v>0</v>
      </c>
      <c r="AN42" s="429">
        <f t="shared" si="7"/>
        <v>0</v>
      </c>
      <c r="AO42" s="443"/>
      <c r="AP42" s="426"/>
      <c r="AQ42" s="452"/>
    </row>
    <row r="43" spans="10:43" s="479" customFormat="1" x14ac:dyDescent="0.35">
      <c r="J43" s="497"/>
      <c r="L43" s="479">
        <v>19</v>
      </c>
      <c r="M43" s="480">
        <v>56.357469232659916</v>
      </c>
      <c r="N43" s="480">
        <v>7.651594373919588</v>
      </c>
      <c r="O43" s="480">
        <v>70.586220638837815</v>
      </c>
      <c r="P43" s="480">
        <v>8.7648509875662644</v>
      </c>
      <c r="Q43" s="480">
        <v>7.5243834834161323</v>
      </c>
      <c r="R43" s="480">
        <v>172.21917470123631</v>
      </c>
      <c r="S43" s="480">
        <v>203.7290094292247</v>
      </c>
      <c r="T43" s="480">
        <v>1482.2140128365556</v>
      </c>
      <c r="U43" s="480">
        <v>1746.1925742275371</v>
      </c>
      <c r="V43" s="480">
        <v>0.54504530059823553</v>
      </c>
      <c r="W43" s="480">
        <v>0.64677219309139344</v>
      </c>
      <c r="X43" s="480">
        <v>0.1095873539232312</v>
      </c>
      <c r="Y43" s="480">
        <v>2.0747294557724203</v>
      </c>
      <c r="Z43" s="480">
        <v>2.4788451211895333</v>
      </c>
      <c r="AA43" s="481">
        <v>5.2753050919440057</v>
      </c>
      <c r="AB43" s="480"/>
      <c r="AC43" s="480"/>
      <c r="AD43" s="480"/>
      <c r="AE43" s="482"/>
      <c r="AF43" s="480"/>
      <c r="AG43" s="510"/>
      <c r="AI43" s="428" t="s">
        <v>399</v>
      </c>
      <c r="AJ43" s="424" t="s">
        <v>346</v>
      </c>
      <c r="AK43" s="425">
        <f>E7*-1</f>
        <v>0</v>
      </c>
      <c r="AL43" s="429">
        <f t="shared" si="6"/>
        <v>0</v>
      </c>
      <c r="AM43" s="429">
        <f>AL43</f>
        <v>0</v>
      </c>
      <c r="AN43" s="429">
        <f t="shared" si="7"/>
        <v>0</v>
      </c>
      <c r="AO43" s="443"/>
      <c r="AP43" s="426" t="s">
        <v>389</v>
      </c>
      <c r="AQ43" s="452" cm="1">
        <f t="array" ref="AQ43">INDEX($AA$2:$AA$21,$B$3)*$AQ$26/2000</f>
        <v>-87916.871262299901</v>
      </c>
    </row>
    <row r="44" spans="10:43" s="479" customFormat="1" x14ac:dyDescent="0.35">
      <c r="J44" s="497"/>
      <c r="L44" s="479">
        <v>20</v>
      </c>
      <c r="M44" s="480">
        <v>58.872717323328956</v>
      </c>
      <c r="N44" s="480">
        <v>7.990341946973718</v>
      </c>
      <c r="O44" s="480">
        <v>73.736501499684067</v>
      </c>
      <c r="P44" s="480">
        <v>9.152884102643462</v>
      </c>
      <c r="Q44" s="480">
        <v>7.8583733658374797</v>
      </c>
      <c r="R44" s="480">
        <v>178.91116050140863</v>
      </c>
      <c r="S44" s="480">
        <v>213.50261013838849</v>
      </c>
      <c r="T44" s="480">
        <v>1535.5747598522098</v>
      </c>
      <c r="U44" s="480">
        <v>1824.1255899939899</v>
      </c>
      <c r="V44" s="480">
        <v>0.56345983602309602</v>
      </c>
      <c r="W44" s="480">
        <v>0.67460697633356281</v>
      </c>
      <c r="X44" s="480">
        <v>0.11375397195428766</v>
      </c>
      <c r="Y44" s="480">
        <v>2.1468633676595887</v>
      </c>
      <c r="Z44" s="480">
        <v>2.5878802803974281</v>
      </c>
      <c r="AA44" s="481">
        <v>5.5162941312552505</v>
      </c>
      <c r="AB44" s="480"/>
      <c r="AC44" s="480"/>
      <c r="AD44" s="480"/>
      <c r="AE44" s="482"/>
      <c r="AF44" s="480"/>
      <c r="AG44" s="510"/>
      <c r="AI44" s="428" t="s">
        <v>326</v>
      </c>
      <c r="AJ44" s="424" t="s">
        <v>346</v>
      </c>
      <c r="AK44" s="425">
        <f>-H3*C15</f>
        <v>0</v>
      </c>
      <c r="AL44" s="429">
        <f t="shared" si="6"/>
        <v>0</v>
      </c>
      <c r="AM44" s="429">
        <f>AL44</f>
        <v>0</v>
      </c>
      <c r="AN44" s="429">
        <f t="shared" si="7"/>
        <v>0</v>
      </c>
      <c r="AO44" s="443"/>
      <c r="AP44" s="426"/>
      <c r="AQ44" s="452"/>
    </row>
    <row r="45" spans="10:43" s="479" customFormat="1" x14ac:dyDescent="0.35">
      <c r="J45" s="497"/>
      <c r="AG45" s="497"/>
      <c r="AI45" s="453" t="s">
        <v>400</v>
      </c>
      <c r="AJ45" s="449" t="s">
        <v>346</v>
      </c>
      <c r="AK45" s="464">
        <f>F7*-1</f>
        <v>0</v>
      </c>
      <c r="AL45" s="465">
        <f t="shared" si="6"/>
        <v>0</v>
      </c>
      <c r="AM45" s="465">
        <f>AL45</f>
        <v>0</v>
      </c>
      <c r="AN45" s="465">
        <f t="shared" si="7"/>
        <v>0</v>
      </c>
      <c r="AO45" s="443"/>
      <c r="AP45" s="426" t="s">
        <v>391</v>
      </c>
      <c r="AQ45" s="452">
        <f>AQ27*AB2*B3/2000+AQ28*AD2*B4/2000</f>
        <v>685784.33502442471</v>
      </c>
    </row>
    <row r="46" spans="10:43" s="479" customFormat="1" ht="15" thickBot="1" x14ac:dyDescent="0.4">
      <c r="J46" s="497"/>
      <c r="AG46" s="497"/>
      <c r="AI46" s="434" t="s">
        <v>354</v>
      </c>
      <c r="AJ46" s="436" t="s">
        <v>346</v>
      </c>
      <c r="AK46" s="466">
        <f>SUM(AK40:AK45)</f>
        <v>3796708.1989438348</v>
      </c>
      <c r="AL46" s="467">
        <f t="shared" ref="AL46:AN46" si="8">SUM(AL40:AL45)</f>
        <v>3796708.1989438348</v>
      </c>
      <c r="AM46" s="466">
        <f t="shared" si="8"/>
        <v>3796708.1989438348</v>
      </c>
      <c r="AN46" s="466">
        <f t="shared" si="8"/>
        <v>3796708.1989438348</v>
      </c>
      <c r="AO46" s="443"/>
      <c r="AP46" s="460" t="s">
        <v>393</v>
      </c>
      <c r="AQ46" s="461">
        <f>SUM(AQ43:AQ45)</f>
        <v>597867.46376212477</v>
      </c>
    </row>
    <row r="47" spans="10:43" s="479" customFormat="1" ht="15" thickBot="1" x14ac:dyDescent="0.4">
      <c r="J47" s="497"/>
      <c r="AG47" s="497"/>
      <c r="AI47" s="468"/>
      <c r="AJ47" s="458"/>
      <c r="AK47" s="458"/>
      <c r="AL47" s="457"/>
      <c r="AM47" s="457"/>
      <c r="AN47" s="459"/>
      <c r="AO47" s="443"/>
    </row>
    <row r="48" spans="10:43" s="479" customFormat="1" ht="15" thickBot="1" x14ac:dyDescent="0.4">
      <c r="J48" s="497"/>
      <c r="K48" s="513" t="s">
        <v>401</v>
      </c>
      <c r="L48" s="514"/>
      <c r="M48" s="479" t="s">
        <v>300</v>
      </c>
      <c r="N48" s="479" t="s">
        <v>301</v>
      </c>
      <c r="O48" s="479" t="s">
        <v>302</v>
      </c>
      <c r="P48" s="479" t="s">
        <v>303</v>
      </c>
      <c r="Q48" s="479" t="s">
        <v>304</v>
      </c>
      <c r="R48" s="479" t="s">
        <v>305</v>
      </c>
      <c r="S48" s="479" t="s">
        <v>306</v>
      </c>
      <c r="T48" s="479" t="s">
        <v>307</v>
      </c>
      <c r="U48" s="479" t="s">
        <v>308</v>
      </c>
      <c r="V48" s="479" t="s">
        <v>309</v>
      </c>
      <c r="W48" s="479" t="s">
        <v>310</v>
      </c>
      <c r="X48" s="479" t="s">
        <v>311</v>
      </c>
      <c r="Y48" s="479" t="s">
        <v>312</v>
      </c>
      <c r="Z48" s="479" t="s">
        <v>313</v>
      </c>
      <c r="AA48" s="479" t="s">
        <v>314</v>
      </c>
      <c r="AB48" s="479" t="s">
        <v>315</v>
      </c>
      <c r="AC48" s="479" t="s">
        <v>316</v>
      </c>
      <c r="AD48" s="479" t="s">
        <v>317</v>
      </c>
      <c r="AE48" s="479" t="s">
        <v>318</v>
      </c>
      <c r="AF48" s="479" t="s">
        <v>319</v>
      </c>
      <c r="AG48" s="497"/>
      <c r="AI48" s="469" t="s">
        <v>265</v>
      </c>
      <c r="AJ48" s="470">
        <f>SUMIF(AJ10:AJ13,"&gt;0")+SUMIF(AJ16:AJ19,"&gt;0")+SUMIF(AJ22:AJ29,"&gt;0")+SUMIF(AJ32:AJ36,"&gt;0")+SUMIF(AJ40:AJ45,"&gt;0")</f>
        <v>306167456.82136405</v>
      </c>
      <c r="AK48" s="470">
        <f>SUMIF(AK10:AK13,"&gt;0")+SUMIF(AK16:AK19,"&gt;0")+SUMIF(AK22:AK29,"&gt;0")+SUMIF(AK32:AK36,"&gt;0")+SUMIF(AK40:AK45,"&gt;0")</f>
        <v>3796708.1989438348</v>
      </c>
      <c r="AL48" s="470">
        <f>SUMIF(AL10:AL13,"&gt;0")+SUMIF(AL16:AL19,"&gt;0")+SUMIF(AL22:AL29,"&gt;0")+SUMIF(AL32:AL36,"&gt;0")+SUMIF(AL40:AL45,"&gt;0")</f>
        <v>67731372.141982108</v>
      </c>
      <c r="AM48" s="470">
        <f>SUMIF(AM10:AM13,"&gt;0")+SUMIF(AM16:AM19,"&gt;0")+SUMIF(AM22:AM29,"&gt;0")+SUMIF(AM32:AM36,"&gt;0")+SUMIF(AM40:AM45,"&gt;0")</f>
        <v>339647627.72390902</v>
      </c>
      <c r="AN48" s="471">
        <f>SUMIF(AN10:AN13,"&gt;0")+SUMIF(AN16:AN19,"&gt;0")+SUMIF(AN22:AN29,"&gt;0")+SUMIF(AN32:AN36,"&gt;0")+SUMIF(AN40:AN45,"&gt;0")</f>
        <v>256103446.97593591</v>
      </c>
      <c r="AO48" s="443"/>
    </row>
    <row r="49" spans="10:41" s="479" customFormat="1" ht="15" thickBot="1" x14ac:dyDescent="0.4">
      <c r="J49" s="497"/>
      <c r="L49" s="479">
        <v>1</v>
      </c>
      <c r="M49" s="480">
        <v>3.5290793735399997</v>
      </c>
      <c r="N49" s="480">
        <v>0.46884845852660545</v>
      </c>
      <c r="O49" s="480">
        <v>4.3483299423975001</v>
      </c>
      <c r="P49" s="480">
        <v>0.53706282297747754</v>
      </c>
      <c r="Q49" s="480">
        <v>0.45121521102664958</v>
      </c>
      <c r="R49" s="480">
        <v>11.901883951230612</v>
      </c>
      <c r="S49" s="480">
        <v>11.901883951230612</v>
      </c>
      <c r="T49" s="480">
        <v>107.57087413075</v>
      </c>
      <c r="U49" s="480">
        <v>107.57087413075</v>
      </c>
      <c r="V49" s="480">
        <v>4.60217848200506E-2</v>
      </c>
      <c r="W49" s="480">
        <v>4.60217848200506E-2</v>
      </c>
      <c r="X49" s="480">
        <v>9.0139041734268316E-3</v>
      </c>
      <c r="Y49" s="480">
        <v>0.04</v>
      </c>
      <c r="Z49" s="480">
        <v>0.04</v>
      </c>
      <c r="AA49" s="481">
        <v>0.37667798468143887</v>
      </c>
      <c r="AB49" s="481">
        <v>19.592497222173233</v>
      </c>
      <c r="AC49" s="480">
        <v>120286</v>
      </c>
      <c r="AD49" s="481">
        <v>22.44</v>
      </c>
      <c r="AE49" s="482"/>
      <c r="AF49" s="483">
        <v>3.3000000000000002E-2</v>
      </c>
      <c r="AG49" s="484"/>
      <c r="AI49" s="469" t="s">
        <v>281</v>
      </c>
      <c r="AJ49" s="470">
        <f>SUMIF(AJ10:AJ13,"&lt;0")+SUMIF(AJ16:AJ19,"&lt;0")+SUMIF(AJ22:AJ29,"&lt;0")+SUMIF(AJ32:AJ36,"&lt;0")+SUMIF(AJ40:AJ45,"&lt;0")</f>
        <v>-292845849.67709124</v>
      </c>
      <c r="AK49" s="470">
        <f>SUMIF(AK10:AK13,"&lt;0")+SUMIF(AK16:AK19,"&lt;0")+SUMIF(AK22:AK29,"&lt;0")+SUMIF(AK32:AK36,"&lt;0")+SUMIF(AK40:AK45,"&lt;0")</f>
        <v>-26161153.99173981</v>
      </c>
      <c r="AL49" s="470">
        <f>SUMIF(AL10:AL13,"&lt;0")+SUMIF(AL16:AL19,"&lt;0")+SUMIF(AL22:AL29,"&lt;0")+SUMIF(AL32:AL36,"&lt;0")+SUMIF(AL40:AL45,"&lt;0")</f>
        <v>-26161153.99173981</v>
      </c>
      <c r="AM49" s="470">
        <f>SUMIF(AM10:AM13,"&lt;0")+SUMIF(AM16:AM19,"&lt;0")+SUMIF(AM22:AM29,"&lt;0")+SUMIF(AM32:AM36,"&lt;0")+SUMIF(AM40:AM45,"&lt;0")</f>
        <v>-255142194.2062155</v>
      </c>
      <c r="AN49" s="471">
        <f>SUMIF(AN10:AN13,"&lt;0")+SUMIF(AN16:AN19,"&lt;0")+SUMIF(AN22:AN29,"&lt;0")+SUMIF(AN32:AN36,"&lt;0")+SUMIF(AN40:AN45,"&lt;0")</f>
        <v>-32459194.206215501</v>
      </c>
      <c r="AO49" s="443"/>
    </row>
    <row r="50" spans="10:41" s="479" customFormat="1" ht="15" thickBot="1" x14ac:dyDescent="0.4">
      <c r="J50" s="497"/>
      <c r="L50" s="479">
        <v>2</v>
      </c>
      <c r="M50" s="480">
        <v>7.0017891346275212</v>
      </c>
      <c r="N50" s="480">
        <v>0.93134898588642567</v>
      </c>
      <c r="O50" s="480">
        <v>8.6272044694517689</v>
      </c>
      <c r="P50" s="480">
        <v>1.0668541325896042</v>
      </c>
      <c r="Q50" s="480">
        <v>0.89655096589269756</v>
      </c>
      <c r="R50" s="480">
        <v>23.462681457853932</v>
      </c>
      <c r="S50" s="480">
        <v>23.695464215005693</v>
      </c>
      <c r="T50" s="480">
        <v>211.33420071445408</v>
      </c>
      <c r="U50" s="480">
        <v>213.42353003966323</v>
      </c>
      <c r="V50" s="480">
        <v>8.9296904352418743E-2</v>
      </c>
      <c r="W50" s="480">
        <v>9.0248206916647505E-2</v>
      </c>
      <c r="X50" s="480">
        <v>1.764665772089961E-2</v>
      </c>
      <c r="Y50" s="480">
        <f>Y3*$Y$49/$Y$2</f>
        <v>7.8512742936860724E-2</v>
      </c>
      <c r="Z50" s="480">
        <f>Z3*$Z$49/$Z$2</f>
        <v>7.9359355759822781E-2</v>
      </c>
      <c r="AA50" s="481">
        <v>0.74237962152947579</v>
      </c>
      <c r="AB50" s="480"/>
      <c r="AC50" s="480"/>
      <c r="AD50" s="480"/>
      <c r="AE50" s="482"/>
      <c r="AF50" s="480"/>
      <c r="AG50" s="510"/>
      <c r="AI50" s="472" t="s">
        <v>402</v>
      </c>
      <c r="AJ50" s="473">
        <f>AJ48+AJ49</f>
        <v>13321607.144272804</v>
      </c>
      <c r="AK50" s="473">
        <f t="shared" ref="AK50:AN50" si="9">AK48+AK49</f>
        <v>-22364445.792795975</v>
      </c>
      <c r="AL50" s="473">
        <f t="shared" si="9"/>
        <v>41570218.150242299</v>
      </c>
      <c r="AM50" s="473">
        <f t="shared" si="9"/>
        <v>84505433.51769352</v>
      </c>
      <c r="AN50" s="474">
        <f t="shared" si="9"/>
        <v>223644252.76972041</v>
      </c>
      <c r="AO50" s="443"/>
    </row>
    <row r="51" spans="10:41" s="479" customFormat="1" ht="15" thickBot="1" x14ac:dyDescent="0.4">
      <c r="J51" s="497"/>
      <c r="L51" s="479">
        <v>3</v>
      </c>
      <c r="M51" s="480">
        <v>10.419029669134265</v>
      </c>
      <c r="N51" s="480">
        <v>1.3873368824092762</v>
      </c>
      <c r="O51" s="480">
        <v>12.837732985183294</v>
      </c>
      <c r="P51" s="480">
        <v>1.5891852664483439</v>
      </c>
      <c r="Q51" s="480">
        <v>1.3359224321214804</v>
      </c>
      <c r="R51" s="480">
        <v>34.692167439804614</v>
      </c>
      <c r="S51" s="480">
        <v>35.381726323427934</v>
      </c>
      <c r="T51" s="480">
        <v>311.42475060279645</v>
      </c>
      <c r="U51" s="480">
        <v>317.58541264509432</v>
      </c>
      <c r="V51" s="480">
        <v>0.12927266299676177</v>
      </c>
      <c r="W51" s="480">
        <v>0.13200083097514168</v>
      </c>
      <c r="X51" s="480">
        <v>2.5644512170036701E-2</v>
      </c>
      <c r="Y51" s="480">
        <f t="shared" ref="Y51:Y68" si="10">Y4*$Y$49/$Y$2</f>
        <v>0.11590385825396209</v>
      </c>
      <c r="Z51" s="480">
        <f t="shared" ref="Z51:Z68" si="11">Z4*$Z$49/$Z$2</f>
        <v>0.11841245278425307</v>
      </c>
      <c r="AA51" s="481">
        <v>1.0860245784964677</v>
      </c>
      <c r="AB51" s="480"/>
      <c r="AC51" s="480"/>
      <c r="AD51" s="480"/>
      <c r="AE51" s="482"/>
      <c r="AF51" s="480"/>
      <c r="AG51" s="510"/>
      <c r="AI51" s="472" t="s">
        <v>403</v>
      </c>
      <c r="AJ51" s="475">
        <f>ABS(AJ48/AJ49)</f>
        <v>1.0454901688344294</v>
      </c>
      <c r="AK51" s="475">
        <f t="shared" ref="AK51:AN51" si="12">ABS(AK48/AK49)</f>
        <v>0.14512770346990875</v>
      </c>
      <c r="AL51" s="475">
        <f t="shared" si="12"/>
        <v>2.5890055218270489</v>
      </c>
      <c r="AM51" s="475">
        <f t="shared" si="12"/>
        <v>1.3312091666398114</v>
      </c>
      <c r="AN51" s="476">
        <f t="shared" si="12"/>
        <v>7.8900124676198997</v>
      </c>
    </row>
    <row r="52" spans="10:41" s="479" customFormat="1" x14ac:dyDescent="0.35">
      <c r="J52" s="497"/>
      <c r="L52" s="479">
        <v>4</v>
      </c>
      <c r="M52" s="480">
        <v>13.781686981163407</v>
      </c>
      <c r="N52" s="480">
        <v>1.8367562531050563</v>
      </c>
      <c r="O52" s="480">
        <v>16.981007173219204</v>
      </c>
      <c r="P52" s="480">
        <v>2.1039921972104731</v>
      </c>
      <c r="Q52" s="480">
        <v>1.7693450682463212</v>
      </c>
      <c r="R52" s="480">
        <v>45.599836685510361</v>
      </c>
      <c r="S52" s="480">
        <v>46.961646840544105</v>
      </c>
      <c r="T52" s="480">
        <v>407.97252433737606</v>
      </c>
      <c r="U52" s="480">
        <v>420.08352849061293</v>
      </c>
      <c r="V52" s="480">
        <v>0.16690592033929946</v>
      </c>
      <c r="W52" s="480">
        <v>0.17217088366380828</v>
      </c>
      <c r="X52" s="480">
        <v>3.304566335783865E-2</v>
      </c>
      <c r="Y52" s="480">
        <f t="shared" si="10"/>
        <v>0.1521138230202769</v>
      </c>
      <c r="Z52" s="480">
        <f t="shared" si="11"/>
        <v>0.15706327110907323</v>
      </c>
      <c r="AA52" s="481">
        <v>1.4086787486168997</v>
      </c>
      <c r="AB52" s="480"/>
      <c r="AC52" s="480"/>
      <c r="AD52" s="480"/>
      <c r="AE52" s="482"/>
      <c r="AF52" s="480"/>
      <c r="AG52" s="510"/>
      <c r="AI52" s="529" t="s">
        <v>404</v>
      </c>
      <c r="AJ52" s="529"/>
      <c r="AK52" s="529"/>
      <c r="AL52" s="529"/>
      <c r="AM52" s="529"/>
      <c r="AN52" s="529"/>
    </row>
    <row r="53" spans="10:41" x14ac:dyDescent="0.35">
      <c r="L53">
        <v>5</v>
      </c>
      <c r="M53" s="313">
        <v>17.090632922768076</v>
      </c>
      <c r="N53" s="313">
        <v>2.2795614205602837</v>
      </c>
      <c r="O53" s="313">
        <v>21.058101279839246</v>
      </c>
      <c r="P53" s="313">
        <v>2.6112226016995259</v>
      </c>
      <c r="Q53" s="313">
        <v>2.1966645294373288</v>
      </c>
      <c r="R53" s="313">
        <v>56.194911879953715</v>
      </c>
      <c r="S53" s="313">
        <v>58.436193443951765</v>
      </c>
      <c r="T53" s="313">
        <v>501.10292099822271</v>
      </c>
      <c r="U53" s="313">
        <v>520.94445274711791</v>
      </c>
      <c r="V53" s="313">
        <v>0.19926854389219362</v>
      </c>
      <c r="W53" s="313">
        <v>0.20747439011408197</v>
      </c>
      <c r="X53" s="313">
        <v>3.7918871207799576E-2</v>
      </c>
      <c r="Y53" s="313">
        <f t="shared" si="10"/>
        <v>0.18693852287140542</v>
      </c>
      <c r="Z53" s="313">
        <f t="shared" si="11"/>
        <v>0.19505258967633177</v>
      </c>
      <c r="AA53" s="132">
        <v>1.6243002415008692</v>
      </c>
      <c r="AB53" s="313"/>
      <c r="AC53" s="313"/>
      <c r="AD53" s="313"/>
      <c r="AE53" s="351"/>
      <c r="AF53" s="313"/>
      <c r="AG53" s="352"/>
    </row>
    <row r="54" spans="10:41" x14ac:dyDescent="0.35">
      <c r="L54">
        <v>6</v>
      </c>
      <c r="M54" s="313">
        <v>20.346725420000553</v>
      </c>
      <c r="N54" s="313">
        <v>2.7157163291637083</v>
      </c>
      <c r="O54" s="313">
        <v>25.070072392500691</v>
      </c>
      <c r="P54" s="313">
        <v>3.1108351784501576</v>
      </c>
      <c r="Q54" s="313">
        <v>2.6178284348808116</v>
      </c>
      <c r="R54" s="313">
        <v>66.486351402664113</v>
      </c>
      <c r="S54" s="313">
        <v>69.806325005663368</v>
      </c>
      <c r="T54" s="313">
        <v>590.93690107579971</v>
      </c>
      <c r="U54" s="313">
        <v>620.19433610310762</v>
      </c>
      <c r="V54" s="313">
        <v>0.2300352761512377</v>
      </c>
      <c r="W54" s="313">
        <v>0.24177477742767348</v>
      </c>
      <c r="X54" s="313">
        <v>4.2499824523502261E-2</v>
      </c>
      <c r="Y54" s="313">
        <f t="shared" si="10"/>
        <v>0.22024643653042791</v>
      </c>
      <c r="Z54" s="313">
        <f t="shared" si="11"/>
        <v>0.23218602099080943</v>
      </c>
      <c r="AA54" s="132">
        <v>1.8300810623569237</v>
      </c>
      <c r="AB54" s="313"/>
      <c r="AC54" s="313"/>
      <c r="AD54" s="313"/>
      <c r="AE54" s="351"/>
      <c r="AF54" s="313"/>
      <c r="AG54" s="352"/>
    </row>
    <row r="55" spans="10:41" x14ac:dyDescent="0.35">
      <c r="L55">
        <v>7</v>
      </c>
      <c r="M55" s="313">
        <v>23.550808695350806</v>
      </c>
      <c r="N55" s="313">
        <v>3.1451939769695123</v>
      </c>
      <c r="O55" s="313">
        <v>29.017960713914398</v>
      </c>
      <c r="P55" s="313">
        <v>3.6027989969111776</v>
      </c>
      <c r="Q55" s="313">
        <v>3.0327939789499827</v>
      </c>
      <c r="R55" s="313">
        <v>76.482856902233635</v>
      </c>
      <c r="S55" s="313">
        <v>81.072991672234522</v>
      </c>
      <c r="T55" s="313">
        <v>677.59114357803639</v>
      </c>
      <c r="U55" s="313">
        <v>717.85891154489229</v>
      </c>
      <c r="V55" s="313">
        <v>0.25807618002906874</v>
      </c>
      <c r="W55" s="313">
        <v>0.27372347739780656</v>
      </c>
      <c r="X55" s="313">
        <v>4.6419397626611597E-2</v>
      </c>
      <c r="Y55" s="313">
        <f t="shared" si="10"/>
        <v>0.25211046792609287</v>
      </c>
      <c r="Z55" s="313">
        <f t="shared" si="11"/>
        <v>0.26849064167401915</v>
      </c>
      <c r="AA55" s="132">
        <v>2.0088894951755236</v>
      </c>
      <c r="AB55" s="313"/>
      <c r="AC55" s="313"/>
      <c r="AD55" s="313"/>
      <c r="AE55" s="351"/>
      <c r="AF55" s="313"/>
      <c r="AG55" s="352"/>
    </row>
    <row r="56" spans="10:41" x14ac:dyDescent="0.35">
      <c r="L56">
        <v>8</v>
      </c>
      <c r="M56" s="313">
        <v>26.703713486632058</v>
      </c>
      <c r="N56" s="313">
        <v>3.5679758740402971</v>
      </c>
      <c r="O56" s="313">
        <v>32.902789831743085</v>
      </c>
      <c r="P56" s="313">
        <v>4.0870928769810089</v>
      </c>
      <c r="Q56" s="313">
        <v>3.4415273728875313</v>
      </c>
      <c r="R56" s="313">
        <v>86.192880653760838</v>
      </c>
      <c r="S56" s="313">
        <v>92.237134944163103</v>
      </c>
      <c r="T56" s="313">
        <v>761.17819757644554</v>
      </c>
      <c r="U56" s="313">
        <v>813.96350102850715</v>
      </c>
      <c r="V56" s="313">
        <v>0.28786629123753188</v>
      </c>
      <c r="W56" s="313">
        <v>0.3084112838315054</v>
      </c>
      <c r="X56" s="313">
        <v>5.1834307976648529E-2</v>
      </c>
      <c r="Y56" s="313">
        <f t="shared" si="10"/>
        <v>0.28279953303067906</v>
      </c>
      <c r="Z56" s="313">
        <f t="shared" si="11"/>
        <v>0.30422519608805698</v>
      </c>
      <c r="AA56" s="132">
        <v>2.2598264835528976</v>
      </c>
      <c r="AB56" s="313"/>
      <c r="AC56" s="313"/>
      <c r="AD56" s="313"/>
      <c r="AE56" s="351"/>
      <c r="AF56" s="313"/>
      <c r="AG56" s="352"/>
    </row>
    <row r="57" spans="10:41" x14ac:dyDescent="0.35">
      <c r="L57">
        <v>9</v>
      </c>
      <c r="M57" s="313">
        <v>29.806257262370096</v>
      </c>
      <c r="N57" s="313">
        <v>3.9840515261578222</v>
      </c>
      <c r="O57" s="313">
        <v>36.72556698399174</v>
      </c>
      <c r="P57" s="313">
        <v>4.5637047976017362</v>
      </c>
      <c r="Q57" s="313">
        <v>3.8440033123881765</v>
      </c>
      <c r="R57" s="313">
        <v>95.624632705443545</v>
      </c>
      <c r="S57" s="313">
        <v>103.29968775456591</v>
      </c>
      <c r="T57" s="313">
        <v>841.80662838815829</v>
      </c>
      <c r="U57" s="313">
        <v>908.53302204505553</v>
      </c>
      <c r="V57" s="313">
        <v>0.31608250240344238</v>
      </c>
      <c r="W57" s="313">
        <v>0.34198867420320489</v>
      </c>
      <c r="X57" s="313">
        <v>5.7550727265764039E-2</v>
      </c>
      <c r="Y57" s="313">
        <f t="shared" si="10"/>
        <v>0.31237343648900417</v>
      </c>
      <c r="Z57" s="313">
        <f t="shared" si="11"/>
        <v>0.33941824505541274</v>
      </c>
      <c r="AA57" s="132">
        <v>2.5290057264929242</v>
      </c>
      <c r="AB57" s="313"/>
      <c r="AC57" s="313"/>
      <c r="AD57" s="313"/>
      <c r="AE57" s="351"/>
      <c r="AF57" s="313"/>
      <c r="AG57" s="352"/>
    </row>
    <row r="58" spans="10:41" x14ac:dyDescent="0.35">
      <c r="L58">
        <v>10</v>
      </c>
      <c r="M58" s="313">
        <v>32.859244433752202</v>
      </c>
      <c r="N58" s="313">
        <v>4.3934179428334899</v>
      </c>
      <c r="O58" s="313">
        <v>40.48728332015898</v>
      </c>
      <c r="P58" s="313">
        <v>5.0326313331883563</v>
      </c>
      <c r="Q58" s="313">
        <v>4.2402044699961969</v>
      </c>
      <c r="R58" s="313">
        <v>104.78608782036329</v>
      </c>
      <c r="S58" s="313">
        <v>114.2615745471393</v>
      </c>
      <c r="T58" s="313">
        <v>919.58115858374185</v>
      </c>
      <c r="U58" s="313">
        <v>1001.5919940811847</v>
      </c>
      <c r="V58" s="313">
        <v>0.34456085937512498</v>
      </c>
      <c r="W58" s="313">
        <v>0.37662299720329423</v>
      </c>
      <c r="X58" s="313">
        <v>6.3989652435008981E-2</v>
      </c>
      <c r="Y58" s="313">
        <f t="shared" si="10"/>
        <v>0.34087917857469408</v>
      </c>
      <c r="Z58" s="313">
        <f t="shared" si="11"/>
        <v>0.37408587281689915</v>
      </c>
      <c r="AA58" s="132">
        <v>2.8371761536536906</v>
      </c>
      <c r="AB58" s="313"/>
      <c r="AC58" s="313"/>
      <c r="AD58" s="313"/>
      <c r="AE58" s="351"/>
      <c r="AF58" s="313"/>
      <c r="AG58" s="352"/>
    </row>
    <row r="59" spans="10:41" x14ac:dyDescent="0.35">
      <c r="L59">
        <v>11</v>
      </c>
      <c r="M59" s="313">
        <v>35.863466563190649</v>
      </c>
      <c r="N59" s="313">
        <v>4.7960791685929198</v>
      </c>
      <c r="O59" s="313">
        <v>44.188914158217059</v>
      </c>
      <c r="P59" s="313">
        <v>5.4938771167183438</v>
      </c>
      <c r="Q59" s="313">
        <v>4.6301210112758131</v>
      </c>
      <c r="R59" s="313">
        <v>113.6849922193307</v>
      </c>
      <c r="S59" s="313">
        <v>125.12371135341049</v>
      </c>
      <c r="T59" s="313">
        <v>994.60280400394561</v>
      </c>
      <c r="U59" s="313">
        <v>1093.1645449763689</v>
      </c>
      <c r="V59" s="313">
        <v>0.37104961085286281</v>
      </c>
      <c r="W59" s="313">
        <v>0.40954579937727059</v>
      </c>
      <c r="X59" s="313">
        <v>6.9866232571273293E-2</v>
      </c>
      <c r="Y59" s="313">
        <f t="shared" si="10"/>
        <v>0.36837257639559595</v>
      </c>
      <c r="Z59" s="313">
        <f t="shared" si="11"/>
        <v>0.40825734738823621</v>
      </c>
      <c r="AA59" s="132">
        <v>3.1231159775800834</v>
      </c>
      <c r="AB59" s="313"/>
      <c r="AC59" s="313"/>
      <c r="AD59" s="313"/>
      <c r="AE59" s="351"/>
      <c r="AF59" s="313"/>
      <c r="AG59" s="352"/>
    </row>
    <row r="60" spans="10:41" x14ac:dyDescent="0.35">
      <c r="L60">
        <v>12</v>
      </c>
      <c r="M60" s="313">
        <v>38.819702569554806</v>
      </c>
      <c r="N60" s="313">
        <v>5.1920458365496822</v>
      </c>
      <c r="O60" s="313">
        <v>47.831419237487189</v>
      </c>
      <c r="P60" s="313">
        <v>5.9474543283532988</v>
      </c>
      <c r="Q60" s="313">
        <v>5.0137501337535708</v>
      </c>
      <c r="R60" s="313">
        <v>122.32887013049317</v>
      </c>
      <c r="S60" s="313">
        <v>135.88700586928576</v>
      </c>
      <c r="T60" s="313">
        <v>1066.9690049620374</v>
      </c>
      <c r="U60" s="313">
        <v>1183.2744171786485</v>
      </c>
      <c r="V60" s="313">
        <v>0.39650574751870804</v>
      </c>
      <c r="W60" s="313">
        <v>0.44188068491835514</v>
      </c>
      <c r="X60" s="313">
        <v>7.516121123322364E-2</v>
      </c>
      <c r="Y60" s="313">
        <f t="shared" si="10"/>
        <v>0.39486499070723552</v>
      </c>
      <c r="Z60" s="313">
        <f t="shared" si="11"/>
        <v>0.44190853317964524</v>
      </c>
      <c r="AA60" s="132">
        <v>3.3851124109189028</v>
      </c>
      <c r="AB60" s="313"/>
      <c r="AC60" s="313"/>
      <c r="AD60" s="313"/>
      <c r="AE60" s="351"/>
      <c r="AF60" s="313"/>
      <c r="AG60" s="352"/>
    </row>
    <row r="61" spans="10:41" x14ac:dyDescent="0.35">
      <c r="L61">
        <v>13</v>
      </c>
      <c r="M61" s="313">
        <v>41.728718930125154</v>
      </c>
      <c r="N61" s="313">
        <v>5.5813347433224463</v>
      </c>
      <c r="O61" s="313">
        <v>51.415742967475651</v>
      </c>
      <c r="P61" s="313">
        <v>6.3933822085093404</v>
      </c>
      <c r="Q61" s="313">
        <v>5.3910956276715378</v>
      </c>
      <c r="R61" s="313">
        <v>130.72503015124278</v>
      </c>
      <c r="S61" s="313">
        <v>146.55235753090236</v>
      </c>
      <c r="T61" s="313">
        <v>1136.7737528021403</v>
      </c>
      <c r="U61" s="313">
        <v>1271.9449739004463</v>
      </c>
      <c r="V61" s="313">
        <v>0.4210271465388325</v>
      </c>
      <c r="W61" s="313">
        <v>0.47371295484455739</v>
      </c>
      <c r="X61" s="313">
        <v>8.0215808595501148E-2</v>
      </c>
      <c r="Y61" s="313">
        <f t="shared" si="10"/>
        <v>0.42042094968083549</v>
      </c>
      <c r="Z61" s="313">
        <f t="shared" si="11"/>
        <v>0.47508380933754096</v>
      </c>
      <c r="AA61" s="132">
        <v>3.6395049277789662</v>
      </c>
      <c r="AB61" s="313"/>
      <c r="AC61" s="313"/>
      <c r="AD61" s="313"/>
      <c r="AE61" s="351"/>
      <c r="AF61" s="313"/>
      <c r="AG61" s="352"/>
    </row>
    <row r="62" spans="10:41" x14ac:dyDescent="0.35">
      <c r="L62">
        <v>14</v>
      </c>
      <c r="M62" s="313">
        <v>44.591269879321437</v>
      </c>
      <c r="N62" s="313">
        <v>5.9640326770047327</v>
      </c>
      <c r="O62" s="313">
        <v>54.942814672735359</v>
      </c>
      <c r="P62" s="313">
        <v>6.8317601723763</v>
      </c>
      <c r="Q62" s="313">
        <v>5.7621674576283297</v>
      </c>
      <c r="R62" s="313">
        <v>138.88057142780312</v>
      </c>
      <c r="S62" s="313">
        <v>157.12065758978983</v>
      </c>
      <c r="T62" s="313">
        <v>1204.1077119779463</v>
      </c>
      <c r="U62" s="313">
        <v>1359.1992051760585</v>
      </c>
      <c r="V62" s="313">
        <v>0.4442729529904772</v>
      </c>
      <c r="W62" s="313">
        <v>0.50455268094740813</v>
      </c>
      <c r="X62" s="313">
        <v>8.5091287394854068E-2</v>
      </c>
      <c r="Y62" s="313">
        <f t="shared" si="10"/>
        <v>0.44510859040592876</v>
      </c>
      <c r="Z62" s="313">
        <f t="shared" si="11"/>
        <v>0.50783638686894317</v>
      </c>
      <c r="AA62" s="132">
        <v>3.8891085875478453</v>
      </c>
      <c r="AB62" s="313"/>
      <c r="AC62" s="313"/>
      <c r="AD62" s="313"/>
      <c r="AE62" s="351"/>
      <c r="AF62" s="313"/>
      <c r="AG62" s="352"/>
    </row>
    <row r="63" spans="10:41" x14ac:dyDescent="0.35">
      <c r="L63">
        <v>15</v>
      </c>
      <c r="M63" s="313">
        <v>47.408097604256596</v>
      </c>
      <c r="N63" s="313">
        <v>6.3401012822674616</v>
      </c>
      <c r="O63" s="313">
        <v>58.413548833816179</v>
      </c>
      <c r="P63" s="313">
        <v>7.2625442841771983</v>
      </c>
      <c r="Q63" s="313">
        <v>6.1269813642216553</v>
      </c>
      <c r="R63" s="313">
        <v>146.80238965772071</v>
      </c>
      <c r="S63" s="313">
        <v>167.59278918734765</v>
      </c>
      <c r="T63" s="313">
        <v>1269.0583378103688</v>
      </c>
      <c r="U63" s="313">
        <v>1445.0597338223895</v>
      </c>
      <c r="V63" s="313">
        <v>0.46627470994456327</v>
      </c>
      <c r="W63" s="313">
        <v>0.53438361060727324</v>
      </c>
      <c r="X63" s="313">
        <v>9.0080045163434042E-2</v>
      </c>
      <c r="Y63" s="313">
        <f t="shared" si="10"/>
        <v>0.46890477843663469</v>
      </c>
      <c r="Z63" s="313">
        <f t="shared" si="11"/>
        <v>0.54010028346585026</v>
      </c>
      <c r="AA63" s="132">
        <v>4.1490138850259841</v>
      </c>
      <c r="AB63" s="313"/>
      <c r="AC63" s="313"/>
      <c r="AD63" s="313"/>
      <c r="AE63" s="351"/>
      <c r="AF63" s="313"/>
      <c r="AG63" s="352"/>
    </row>
    <row r="64" spans="10:41" x14ac:dyDescent="0.35">
      <c r="L64">
        <v>16</v>
      </c>
      <c r="M64" s="313">
        <v>50.179932437167139</v>
      </c>
      <c r="N64" s="313">
        <v>6.7095735613280763</v>
      </c>
      <c r="O64" s="313">
        <v>61.828845324366668</v>
      </c>
      <c r="P64" s="313">
        <v>7.6857723477348729</v>
      </c>
      <c r="Q64" s="313">
        <v>6.4856186790869437</v>
      </c>
      <c r="R64" s="313">
        <v>154.49718292033569</v>
      </c>
      <c r="S64" s="313">
        <v>177.96962742864503</v>
      </c>
      <c r="T64" s="313">
        <v>1331.7099900770775</v>
      </c>
      <c r="U64" s="313">
        <v>1529.5488213044762</v>
      </c>
      <c r="V64" s="313">
        <v>0.48819289483392131</v>
      </c>
      <c r="W64" s="313">
        <v>0.564754502201404</v>
      </c>
      <c r="X64" s="313">
        <v>9.4982344023027881E-2</v>
      </c>
      <c r="Y64" s="313">
        <f t="shared" si="10"/>
        <v>0.49163641066312463</v>
      </c>
      <c r="Z64" s="313">
        <f t="shared" si="11"/>
        <v>0.57159832682999645</v>
      </c>
      <c r="AA64" s="132">
        <v>4.4089745971883652</v>
      </c>
      <c r="AB64" s="313"/>
      <c r="AC64" s="313"/>
      <c r="AD64" s="313"/>
      <c r="AE64" s="351"/>
      <c r="AF64" s="313"/>
      <c r="AG64" s="352"/>
    </row>
    <row r="65" spans="12:33" x14ac:dyDescent="0.35">
      <c r="L65">
        <v>17</v>
      </c>
      <c r="M65" s="313">
        <v>52.907493044769815</v>
      </c>
      <c r="N65" s="313">
        <v>7.0724871732915586</v>
      </c>
      <c r="O65" s="313">
        <v>65.189589644448546</v>
      </c>
      <c r="P65" s="313">
        <v>8.1014875013061847</v>
      </c>
      <c r="Q65" s="313">
        <v>6.8380434583347203</v>
      </c>
      <c r="R65" s="313">
        <v>161.97145734016172</v>
      </c>
      <c r="S65" s="313">
        <v>188.25203945554918</v>
      </c>
      <c r="T65" s="313">
        <v>1392.1440425814515</v>
      </c>
      <c r="U65" s="313">
        <v>1612.6883735073234</v>
      </c>
      <c r="V65" s="313">
        <v>0.5085259202165876</v>
      </c>
      <c r="W65" s="313">
        <v>0.59354826938187955</v>
      </c>
      <c r="X65" s="313">
        <v>9.949030499750533E-2</v>
      </c>
      <c r="Y65" s="313">
        <f t="shared" si="10"/>
        <v>0.51343636636162493</v>
      </c>
      <c r="Z65" s="313">
        <f t="shared" si="11"/>
        <v>0.60246942629079825</v>
      </c>
      <c r="AA65" s="132">
        <v>4.6523443963873046</v>
      </c>
      <c r="AB65" s="313"/>
      <c r="AC65" s="313"/>
      <c r="AD65" s="313"/>
      <c r="AE65" s="351"/>
      <c r="AF65" s="313"/>
      <c r="AG65" s="352"/>
    </row>
    <row r="66" spans="12:33" x14ac:dyDescent="0.35">
      <c r="L66">
        <v>18</v>
      </c>
      <c r="M66" s="313">
        <v>55.591486614593748</v>
      </c>
      <c r="N66" s="313">
        <v>7.4288841029346733</v>
      </c>
      <c r="O66" s="313">
        <v>68.496653150124459</v>
      </c>
      <c r="P66" s="313">
        <v>8.5097378381765463</v>
      </c>
      <c r="Q66" s="313">
        <v>7.1842866292985432</v>
      </c>
      <c r="R66" s="313">
        <v>169.2315325879639</v>
      </c>
      <c r="S66" s="313">
        <v>198.44088451918819</v>
      </c>
      <c r="T66" s="313">
        <v>1450.4389888432622</v>
      </c>
      <c r="U66" s="313">
        <v>1694.4999464155462</v>
      </c>
      <c r="V66" s="313">
        <v>0.52823328605886977</v>
      </c>
      <c r="W66" s="313">
        <v>0.62206952198765331</v>
      </c>
      <c r="X66" s="313">
        <v>0.10367884753294968</v>
      </c>
      <c r="Y66" s="313">
        <f t="shared" si="10"/>
        <v>0.53448125025994309</v>
      </c>
      <c r="Z66" s="313">
        <f t="shared" si="11"/>
        <v>0.63292638611621177</v>
      </c>
      <c r="AA66" s="132">
        <v>4.8826045394048787</v>
      </c>
      <c r="AB66" s="313"/>
      <c r="AC66" s="313"/>
      <c r="AD66" s="313"/>
      <c r="AE66" s="351"/>
      <c r="AF66" s="313"/>
      <c r="AG66" s="352"/>
    </row>
    <row r="67" spans="12:33" x14ac:dyDescent="0.35">
      <c r="L67">
        <v>19</v>
      </c>
      <c r="M67" s="313">
        <v>58.232609038336271</v>
      </c>
      <c r="N67" s="313">
        <v>7.7788103458995899</v>
      </c>
      <c r="O67" s="313">
        <v>71.750893279378644</v>
      </c>
      <c r="P67" s="313">
        <v>8.9105760460512915</v>
      </c>
      <c r="Q67" s="313">
        <v>7.5243834834161323</v>
      </c>
      <c r="R67" s="313">
        <v>176.2835472241855</v>
      </c>
      <c r="S67" s="313">
        <v>208.5370140517544</v>
      </c>
      <c r="T67" s="313">
        <v>1506.6705440483586</v>
      </c>
      <c r="U67" s="313">
        <v>1775.004751702292</v>
      </c>
      <c r="V67" s="313">
        <v>0.54769485382980665</v>
      </c>
      <c r="W67" s="313">
        <v>0.65085419959072399</v>
      </c>
      <c r="X67" s="313">
        <v>0.10798296395903099</v>
      </c>
      <c r="Y67" s="313">
        <f t="shared" si="10"/>
        <v>0.55473316209687973</v>
      </c>
      <c r="Z67" s="313">
        <f t="shared" si="11"/>
        <v>0.66288002396971391</v>
      </c>
      <c r="AA67" s="132">
        <v>5.1235935787161235</v>
      </c>
      <c r="AB67" s="313"/>
      <c r="AC67" s="313"/>
      <c r="AD67" s="313"/>
      <c r="AE67" s="351"/>
      <c r="AF67" s="313"/>
      <c r="AG67" s="352"/>
    </row>
    <row r="68" spans="12:33" x14ac:dyDescent="0.35">
      <c r="L68">
        <v>20</v>
      </c>
      <c r="M68" s="313">
        <v>60.831545092290071</v>
      </c>
      <c r="N68" s="313">
        <v>8.1223156095865043</v>
      </c>
      <c r="O68" s="313">
        <v>74.95315377442887</v>
      </c>
      <c r="P68" s="313">
        <v>9.3040590644301346</v>
      </c>
      <c r="Q68" s="313">
        <v>7.8583733658374797</v>
      </c>
      <c r="R68" s="313">
        <v>183.13346388924188</v>
      </c>
      <c r="S68" s="313">
        <v>218.54127173765445</v>
      </c>
      <c r="T68" s="313">
        <v>1560.9117433897711</v>
      </c>
      <c r="U68" s="313">
        <v>1854.2236622288913</v>
      </c>
      <c r="V68" s="313">
        <v>0.5660940093740785</v>
      </c>
      <c r="W68" s="313">
        <v>0.67866573513032591</v>
      </c>
      <c r="X68" s="313">
        <v>0.11206556957186346</v>
      </c>
      <c r="Y68" s="313">
        <f t="shared" si="10"/>
        <v>0.57411903509877327</v>
      </c>
      <c r="Z68" s="313">
        <f t="shared" si="11"/>
        <v>0.6921830479406279</v>
      </c>
      <c r="AA68" s="132">
        <v>5.3564530064585592</v>
      </c>
      <c r="AB68" s="313"/>
      <c r="AC68" s="313"/>
      <c r="AD68" s="313"/>
      <c r="AE68" s="351"/>
      <c r="AF68" s="313"/>
      <c r="AG68" s="352"/>
    </row>
  </sheetData>
  <mergeCells count="9">
    <mergeCell ref="AI52:AN52"/>
    <mergeCell ref="B5:F5"/>
    <mergeCell ref="K1:L1"/>
    <mergeCell ref="AI2:AK2"/>
    <mergeCell ref="AL2:AO2"/>
    <mergeCell ref="AI3:AQ3"/>
    <mergeCell ref="D19:G19"/>
    <mergeCell ref="D18:G18"/>
    <mergeCell ref="D20:G20"/>
  </mergeCells>
  <pageMargins left="0.25" right="0.25" top="0.75" bottom="0.75" header="0.3" footer="0.3"/>
  <pageSetup scale="61" orientation="landscape" r:id="rId1"/>
  <headerFooter>
    <oddHeader>&amp;L&amp;"Garamond,Regular"&amp;12Northern States Power Company
TEP Cost-Benefit Analysis&amp;R&amp;"Garamond,Regular"&amp;12Docket No. E002/M-23-452
2023 Integrated Distribution Plan
Appendix H12 - Page &amp;P of &amp;N</oddHead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F1A76-4CD5-479B-A329-3AF8D4A0F55D}">
  <sheetPr>
    <tabColor theme="9" tint="0.79998168889431442"/>
    <pageSetUpPr fitToPage="1"/>
  </sheetPr>
  <dimension ref="A1:AQ52"/>
  <sheetViews>
    <sheetView tabSelected="1" view="pageLayout" topLeftCell="AH1" zoomScaleNormal="80" workbookViewId="0">
      <selection activeCell="AT1" sqref="AT1"/>
    </sheetView>
  </sheetViews>
  <sheetFormatPr defaultRowHeight="14.5" x14ac:dyDescent="0.35"/>
  <cols>
    <col min="1" max="1" width="8.7265625" hidden="1" customWidth="1"/>
    <col min="2" max="2" width="27.7265625" hidden="1" customWidth="1"/>
    <col min="3" max="3" width="14.453125" hidden="1" customWidth="1"/>
    <col min="4" max="4" width="13.54296875" hidden="1" customWidth="1"/>
    <col min="5" max="5" width="16.7265625" hidden="1" customWidth="1"/>
    <col min="6" max="6" width="12.26953125" hidden="1" customWidth="1"/>
    <col min="7" max="7" width="18.1796875" hidden="1" customWidth="1"/>
    <col min="8" max="8" width="16.1796875" hidden="1" customWidth="1"/>
    <col min="9" max="9" width="19.26953125" hidden="1" customWidth="1"/>
    <col min="10" max="10" width="12" style="342" hidden="1" customWidth="1"/>
    <col min="11" max="11" width="9.1796875" hidden="1" customWidth="1"/>
    <col min="12" max="12" width="8.81640625" hidden="1" customWidth="1"/>
    <col min="13" max="13" width="13.1796875" hidden="1" customWidth="1"/>
    <col min="14" max="16" width="18.7265625" hidden="1" customWidth="1"/>
    <col min="17" max="17" width="24.54296875" hidden="1" customWidth="1"/>
    <col min="18" max="18" width="11.54296875" hidden="1" customWidth="1"/>
    <col min="19" max="19" width="13.54296875" hidden="1" customWidth="1"/>
    <col min="20" max="20" width="19.1796875" hidden="1" customWidth="1"/>
    <col min="21" max="21" width="21" hidden="1" customWidth="1"/>
    <col min="22" max="22" width="23.7265625" hidden="1" customWidth="1"/>
    <col min="23" max="23" width="25.7265625" hidden="1" customWidth="1"/>
    <col min="24" max="24" width="30.26953125" hidden="1" customWidth="1"/>
    <col min="25" max="25" width="16" hidden="1" customWidth="1"/>
    <col min="26" max="26" width="21.7265625" hidden="1" customWidth="1"/>
    <col min="27" max="27" width="19.54296875" hidden="1" customWidth="1"/>
    <col min="28" max="28" width="22" hidden="1" customWidth="1"/>
    <col min="29" max="31" width="29.7265625" hidden="1" customWidth="1"/>
    <col min="32" max="32" width="19.453125" hidden="1" customWidth="1"/>
    <col min="33" max="33" width="8.81640625" style="342" hidden="1" customWidth="1"/>
    <col min="34" max="34" width="2.26953125" customWidth="1"/>
    <col min="35" max="35" width="68.26953125" bestFit="1" customWidth="1"/>
    <col min="36" max="38" width="14" bestFit="1" customWidth="1"/>
    <col min="39" max="39" width="15" bestFit="1" customWidth="1"/>
    <col min="40" max="40" width="14" bestFit="1" customWidth="1"/>
    <col min="42" max="42" width="45" bestFit="1" customWidth="1"/>
    <col min="43" max="43" width="24.1796875" bestFit="1" customWidth="1"/>
  </cols>
  <sheetData>
    <row r="1" spans="1:43" ht="31.5" customHeight="1" x14ac:dyDescent="0.35">
      <c r="B1" s="344" t="s">
        <v>298</v>
      </c>
      <c r="C1" s="316"/>
      <c r="D1" s="316"/>
      <c r="E1" s="316"/>
      <c r="F1" s="316"/>
      <c r="G1" s="316"/>
      <c r="J1" s="341"/>
      <c r="K1" s="344" t="s">
        <v>369</v>
      </c>
      <c r="L1" s="344"/>
      <c r="M1" t="s">
        <v>300</v>
      </c>
      <c r="N1" t="s">
        <v>301</v>
      </c>
      <c r="O1" t="s">
        <v>302</v>
      </c>
      <c r="P1" t="s">
        <v>303</v>
      </c>
      <c r="Q1" t="s">
        <v>304</v>
      </c>
      <c r="R1" t="s">
        <v>305</v>
      </c>
      <c r="S1" t="s">
        <v>306</v>
      </c>
      <c r="T1" t="s">
        <v>307</v>
      </c>
      <c r="U1" t="s">
        <v>308</v>
      </c>
      <c r="V1" t="s">
        <v>309</v>
      </c>
      <c r="W1" t="s">
        <v>310</v>
      </c>
      <c r="X1" t="s">
        <v>311</v>
      </c>
      <c r="Y1" t="s">
        <v>312</v>
      </c>
      <c r="Z1" t="s">
        <v>313</v>
      </c>
      <c r="AA1" t="s">
        <v>314</v>
      </c>
      <c r="AB1" t="s">
        <v>315</v>
      </c>
      <c r="AC1" t="s">
        <v>316</v>
      </c>
      <c r="AD1" t="s">
        <v>317</v>
      </c>
      <c r="AE1" t="s">
        <v>318</v>
      </c>
      <c r="AF1" t="s">
        <v>319</v>
      </c>
    </row>
    <row r="2" spans="1:43" s="519" customFormat="1" ht="19" customHeight="1" x14ac:dyDescent="0.4">
      <c r="B2" s="520" t="s">
        <v>320</v>
      </c>
      <c r="C2" s="520" t="s">
        <v>321</v>
      </c>
      <c r="D2" s="520" t="s">
        <v>322</v>
      </c>
      <c r="E2" s="520" t="s">
        <v>323</v>
      </c>
      <c r="F2" s="520" t="s">
        <v>324</v>
      </c>
      <c r="G2" s="520" t="s">
        <v>325</v>
      </c>
      <c r="H2" s="520" t="s">
        <v>326</v>
      </c>
      <c r="I2" s="520" t="s">
        <v>327</v>
      </c>
      <c r="J2" s="521"/>
      <c r="L2" s="519">
        <v>1</v>
      </c>
      <c r="M2" s="522">
        <v>3.4154399999999998</v>
      </c>
      <c r="N2" s="522">
        <v>0.46003183477662751</v>
      </c>
      <c r="O2" s="522">
        <v>4.2777471150000004</v>
      </c>
      <c r="P2" s="522">
        <v>0.52696343850861571</v>
      </c>
      <c r="Q2" s="522">
        <v>0.45121521102664958</v>
      </c>
      <c r="R2" s="522">
        <v>11.627475528752063</v>
      </c>
      <c r="S2" s="522">
        <v>11.627475528752063</v>
      </c>
      <c r="T2" s="522">
        <v>105.8247655</v>
      </c>
      <c r="U2" s="522">
        <v>105.8247655</v>
      </c>
      <c r="V2" s="522">
        <v>4.5230965329332816E-2</v>
      </c>
      <c r="W2" s="522">
        <v>4.5230965329332816E-2</v>
      </c>
      <c r="X2" s="522">
        <v>9.2206089736187064E-3</v>
      </c>
      <c r="Y2" s="522">
        <v>0.14959871665858113</v>
      </c>
      <c r="Z2" s="522">
        <v>0.14959871665858113</v>
      </c>
      <c r="AA2" s="523">
        <v>0.39270055253912717</v>
      </c>
      <c r="AB2" s="523">
        <v>19.592497222173233</v>
      </c>
      <c r="AC2" s="522">
        <v>120286</v>
      </c>
      <c r="AD2" s="523">
        <v>22.44</v>
      </c>
      <c r="AE2" s="522"/>
      <c r="AF2" s="524">
        <v>3.3000000000000002E-2</v>
      </c>
      <c r="AG2" s="525"/>
      <c r="AI2" s="540" t="s">
        <v>328</v>
      </c>
      <c r="AJ2" s="541"/>
      <c r="AK2" s="542"/>
      <c r="AL2" s="543" t="s">
        <v>329</v>
      </c>
      <c r="AM2" s="544"/>
      <c r="AN2" s="544"/>
      <c r="AO2" s="545"/>
      <c r="AP2" s="526">
        <v>2025</v>
      </c>
      <c r="AQ2" s="527" t="s">
        <v>330</v>
      </c>
    </row>
    <row r="3" spans="1:43" s="479" customFormat="1" x14ac:dyDescent="0.35">
      <c r="A3" s="479" t="s">
        <v>331</v>
      </c>
      <c r="B3" s="493">
        <f>'MN TEP CBA (2024)'!B3</f>
        <v>10</v>
      </c>
      <c r="C3" s="494">
        <f>'MN TEP CBA (2024)'!C3</f>
        <v>-3801.8922750851671</v>
      </c>
      <c r="D3" s="495">
        <f>'MN TEP CBA (2024)'!D3</f>
        <v>-0.53402916391465605</v>
      </c>
      <c r="E3" s="516">
        <f>'MN TEP CBA (2024)'!E3</f>
        <v>534.42851239669426</v>
      </c>
      <c r="F3" s="493">
        <f>'MN TEP CBA (2024)'!F3</f>
        <v>0</v>
      </c>
      <c r="G3" s="496">
        <f>'MN TEP CBA (2024)'!G3</f>
        <v>759.17707900000016</v>
      </c>
      <c r="H3" s="496">
        <f>'MN TEP CBA (2024)'!H3</f>
        <v>0</v>
      </c>
      <c r="I3" s="496">
        <f>'MN TEP CBA (2024)'!I3</f>
        <v>17000</v>
      </c>
      <c r="J3" s="497"/>
      <c r="L3" s="479">
        <v>2</v>
      </c>
      <c r="M3" s="480">
        <v>6.776325537270087</v>
      </c>
      <c r="N3" s="480">
        <v>0.91390255939095999</v>
      </c>
      <c r="O3" s="480">
        <v>8.4871662267110359</v>
      </c>
      <c r="P3" s="480">
        <v>1.046869365882747</v>
      </c>
      <c r="Q3" s="480">
        <v>0.89655096589269756</v>
      </c>
      <c r="R3" s="480">
        <v>22.921728661443858</v>
      </c>
      <c r="S3" s="480">
        <v>23.149144407000477</v>
      </c>
      <c r="T3" s="480">
        <v>207.90378820900548</v>
      </c>
      <c r="U3" s="480">
        <v>209.95920318707647</v>
      </c>
      <c r="V3" s="480">
        <v>8.8776778126064687E-2</v>
      </c>
      <c r="W3" s="480">
        <v>8.9734031250321741E-2</v>
      </c>
      <c r="X3" s="480">
        <v>1.7946556866577888E-2</v>
      </c>
      <c r="Y3" s="480">
        <v>0.29484058829161042</v>
      </c>
      <c r="Z3" s="480">
        <v>0.2980333920645622</v>
      </c>
      <c r="AA3" s="481">
        <v>0.76937853722056604</v>
      </c>
      <c r="AB3" s="480"/>
      <c r="AC3" s="480"/>
      <c r="AD3" s="480"/>
      <c r="AE3" s="480"/>
      <c r="AF3" s="480"/>
      <c r="AG3" s="497"/>
      <c r="AI3" s="538" t="s">
        <v>405</v>
      </c>
      <c r="AJ3" s="538"/>
      <c r="AK3" s="538"/>
      <c r="AL3" s="538"/>
      <c r="AM3" s="538"/>
      <c r="AN3" s="538"/>
      <c r="AO3" s="538"/>
      <c r="AP3" s="538"/>
      <c r="AQ3" s="538"/>
    </row>
    <row r="4" spans="1:43" s="479" customFormat="1" x14ac:dyDescent="0.35">
      <c r="A4" s="479" t="s">
        <v>333</v>
      </c>
      <c r="B4" s="493">
        <f>'MN TEP CBA (2024)'!B4</f>
        <v>10</v>
      </c>
      <c r="C4" s="494">
        <f>'MN TEP CBA (2024)'!C4</f>
        <v>-7500</v>
      </c>
      <c r="D4" s="495">
        <f>'MN TEP CBA (2024)'!D4</f>
        <v>-1.0534803302048317</v>
      </c>
      <c r="E4" s="493">
        <f>'MN TEP CBA (2024)'!E4</f>
        <v>0</v>
      </c>
      <c r="F4" s="493">
        <f>'MN TEP CBA (2024)'!F4</f>
        <v>2500</v>
      </c>
      <c r="G4" s="496">
        <f>'MN TEP CBA (2024)'!G4</f>
        <v>5834.9999999999982</v>
      </c>
      <c r="H4" s="496">
        <f>'MN TEP CBA (2024)'!H4</f>
        <v>0</v>
      </c>
      <c r="I4" s="496">
        <f>'MN TEP CBA (2024)'!I4</f>
        <v>250000</v>
      </c>
      <c r="J4" s="497"/>
      <c r="L4" s="479">
        <v>3</v>
      </c>
      <c r="M4" s="480">
        <v>10.083528004486974</v>
      </c>
      <c r="N4" s="480">
        <v>1.3616281425079206</v>
      </c>
      <c r="O4" s="480">
        <v>12.629348731119816</v>
      </c>
      <c r="P4" s="480">
        <v>1.5597360741229473</v>
      </c>
      <c r="Q4" s="480">
        <v>1.3359224321214804</v>
      </c>
      <c r="R4" s="480">
        <v>33.892308948617249</v>
      </c>
      <c r="S4" s="480">
        <v>34.565969444536861</v>
      </c>
      <c r="T4" s="480">
        <v>306.36965135543181</v>
      </c>
      <c r="U4" s="480">
        <v>312.43031248902543</v>
      </c>
      <c r="V4" s="480">
        <v>0.12972369622759142</v>
      </c>
      <c r="W4" s="480">
        <v>0.13250098141773095</v>
      </c>
      <c r="X4" s="480">
        <v>2.630353029104331E-2</v>
      </c>
      <c r="Y4" s="480">
        <v>0.43549440430710229</v>
      </c>
      <c r="Z4" s="480">
        <v>0.44493906944608397</v>
      </c>
      <c r="AA4" s="481">
        <v>1.135080174068603</v>
      </c>
      <c r="AB4" s="480"/>
      <c r="AC4" s="480"/>
      <c r="AD4" s="480"/>
      <c r="AE4" s="480"/>
      <c r="AF4" s="480"/>
      <c r="AG4" s="497"/>
      <c r="AI4" s="418"/>
      <c r="AJ4" s="314"/>
      <c r="AK4" s="315"/>
      <c r="AL4" s="315" t="s">
        <v>334</v>
      </c>
      <c r="AM4" s="315"/>
      <c r="AN4" s="315"/>
      <c r="AO4" s="419"/>
      <c r="AP4" s="419"/>
      <c r="AQ4" s="419"/>
    </row>
    <row r="5" spans="1:43" s="479" customFormat="1" x14ac:dyDescent="0.35">
      <c r="B5" s="530"/>
      <c r="C5" s="530"/>
      <c r="D5" s="530"/>
      <c r="E5" s="530"/>
      <c r="F5" s="530"/>
      <c r="J5" s="497"/>
      <c r="L5" s="479">
        <v>4</v>
      </c>
      <c r="M5" s="480">
        <v>13.337904875664094</v>
      </c>
      <c r="N5" s="480">
        <v>1.8030491459182314</v>
      </c>
      <c r="O5" s="480">
        <v>16.705368591460111</v>
      </c>
      <c r="P5" s="480">
        <v>2.0653809278100139</v>
      </c>
      <c r="Q5" s="480">
        <v>1.7693450682463212</v>
      </c>
      <c r="R5" s="480">
        <v>44.548492267985893</v>
      </c>
      <c r="S5" s="480">
        <v>45.878904689863326</v>
      </c>
      <c r="T5" s="480">
        <v>401.35024529008956</v>
      </c>
      <c r="U5" s="480">
        <v>413.26466157463153</v>
      </c>
      <c r="V5" s="480">
        <v>0.16754875905686878</v>
      </c>
      <c r="W5" s="480">
        <v>0.17287576888229481</v>
      </c>
      <c r="X5" s="480">
        <v>3.4045886969782023E-2</v>
      </c>
      <c r="Y5" s="480">
        <v>0.57076730383259544</v>
      </c>
      <c r="Z5" s="480">
        <v>0.58933049035946017</v>
      </c>
      <c r="AA5" s="481">
        <v>1.4787251310355951</v>
      </c>
      <c r="AB5" s="480"/>
      <c r="AC5" s="480"/>
      <c r="AD5" s="480"/>
      <c r="AE5" s="480"/>
      <c r="AF5" s="480"/>
      <c r="AG5" s="497"/>
      <c r="AI5" s="418"/>
      <c r="AJ5" s="315" t="s">
        <v>335</v>
      </c>
      <c r="AK5" s="315" t="s">
        <v>336</v>
      </c>
      <c r="AL5" s="315" t="s">
        <v>337</v>
      </c>
      <c r="AM5" s="315" t="s">
        <v>338</v>
      </c>
      <c r="AN5" s="315" t="s">
        <v>339</v>
      </c>
      <c r="AO5" s="419"/>
    </row>
    <row r="6" spans="1:43" s="479" customFormat="1" x14ac:dyDescent="0.35">
      <c r="B6" s="498"/>
      <c r="C6" s="498"/>
      <c r="D6" s="498"/>
      <c r="E6" s="498"/>
      <c r="F6" s="498"/>
      <c r="J6" s="497"/>
      <c r="L6" s="479">
        <v>5</v>
      </c>
      <c r="M6" s="480">
        <v>16.540299928472944</v>
      </c>
      <c r="N6" s="480">
        <v>2.238111460241349</v>
      </c>
      <c r="O6" s="480">
        <v>20.716282616664284</v>
      </c>
      <c r="P6" s="480">
        <v>2.5637419450047183</v>
      </c>
      <c r="Q6" s="480">
        <v>2.1966645294373288</v>
      </c>
      <c r="R6" s="480">
        <v>54.899288667402999</v>
      </c>
      <c r="S6" s="480">
        <v>57.088895509917705</v>
      </c>
      <c r="T6" s="480">
        <v>492.96893359392294</v>
      </c>
      <c r="U6" s="480">
        <v>512.48839424212292</v>
      </c>
      <c r="V6" s="480">
        <v>0.20315734715437794</v>
      </c>
      <c r="W6" s="480">
        <v>0.21172020983223541</v>
      </c>
      <c r="X6" s="480">
        <v>4.1210602543646446E-2</v>
      </c>
      <c r="Y6" s="480">
        <v>0.7001484062415726</v>
      </c>
      <c r="Z6" s="480">
        <v>0.73046881852909873</v>
      </c>
      <c r="AA6" s="481">
        <v>1.8013793011560271</v>
      </c>
      <c r="AB6" s="480"/>
      <c r="AC6" s="480"/>
      <c r="AD6" s="480"/>
      <c r="AE6" s="480"/>
      <c r="AF6" s="480"/>
      <c r="AG6" s="497"/>
      <c r="AI6" s="418"/>
      <c r="AJ6" s="315" t="s">
        <v>340</v>
      </c>
      <c r="AK6" s="315" t="s">
        <v>340</v>
      </c>
      <c r="AL6" s="315" t="s">
        <v>340</v>
      </c>
      <c r="AM6" s="315" t="s">
        <v>340</v>
      </c>
      <c r="AN6" s="315" t="s">
        <v>340</v>
      </c>
      <c r="AO6" s="419"/>
    </row>
    <row r="7" spans="1:43" s="479" customFormat="1" ht="15" thickBot="1" x14ac:dyDescent="0.4">
      <c r="B7" s="480"/>
      <c r="C7" s="480"/>
      <c r="D7" s="480"/>
      <c r="E7" s="480"/>
      <c r="F7" s="480"/>
      <c r="J7" s="497"/>
      <c r="L7" s="479">
        <v>6</v>
      </c>
      <c r="M7" s="480">
        <v>19.691543463013311</v>
      </c>
      <c r="N7" s="480">
        <v>2.6667708672648023</v>
      </c>
      <c r="O7" s="480">
        <v>24.663130735367133</v>
      </c>
      <c r="P7" s="480">
        <v>3.0547684740357472</v>
      </c>
      <c r="Q7" s="480">
        <v>2.6178284348808116</v>
      </c>
      <c r="R7" s="480">
        <v>64.953449983063805</v>
      </c>
      <c r="S7" s="480">
        <v>68.196878669073243</v>
      </c>
      <c r="T7" s="480">
        <v>581.3447133062466</v>
      </c>
      <c r="U7" s="480">
        <v>610.12723669759725</v>
      </c>
      <c r="V7" s="480">
        <v>0.23377886156012639</v>
      </c>
      <c r="W7" s="480">
        <v>0.24585870056965009</v>
      </c>
      <c r="X7" s="480">
        <v>4.5928131924053928E-2</v>
      </c>
      <c r="Y7" s="480">
        <v>0.82392089921033163</v>
      </c>
      <c r="Z7" s="480">
        <v>0.8684569679319083</v>
      </c>
      <c r="AA7" s="481">
        <v>2.0170007940399963</v>
      </c>
      <c r="AB7" s="480"/>
      <c r="AC7" s="480"/>
      <c r="AD7" s="480"/>
      <c r="AE7" s="480"/>
      <c r="AF7" s="480"/>
      <c r="AG7" s="497"/>
      <c r="AI7" s="418"/>
      <c r="AJ7" s="315" t="s">
        <v>341</v>
      </c>
      <c r="AK7" s="315" t="s">
        <v>341</v>
      </c>
      <c r="AL7" s="315" t="s">
        <v>341</v>
      </c>
      <c r="AM7" s="315" t="s">
        <v>341</v>
      </c>
      <c r="AN7" s="315" t="s">
        <v>341</v>
      </c>
      <c r="AO7" s="419"/>
      <c r="AP7" s="420"/>
      <c r="AQ7" s="419"/>
    </row>
    <row r="8" spans="1:43" s="479" customFormat="1" x14ac:dyDescent="0.35">
      <c r="B8" s="499" t="s">
        <v>342</v>
      </c>
      <c r="C8" s="499">
        <v>2024</v>
      </c>
      <c r="D8" s="499">
        <v>2025</v>
      </c>
      <c r="E8" s="499">
        <v>2026</v>
      </c>
      <c r="F8" s="499">
        <v>2027</v>
      </c>
      <c r="G8" s="499" t="s">
        <v>27</v>
      </c>
      <c r="J8" s="497"/>
      <c r="L8" s="479">
        <v>7</v>
      </c>
      <c r="M8" s="480">
        <v>22.792452517089092</v>
      </c>
      <c r="N8" s="480">
        <v>3.0889924632022896</v>
      </c>
      <c r="O8" s="480">
        <v>28.546936265533102</v>
      </c>
      <c r="P8" s="480">
        <v>3.5384205328456519</v>
      </c>
      <c r="Q8" s="480">
        <v>3.0327939789499827</v>
      </c>
      <c r="R8" s="480">
        <v>74.719477239384162</v>
      </c>
      <c r="S8" s="480">
        <v>79.203782407419425</v>
      </c>
      <c r="T8" s="480">
        <v>666.59236948159014</v>
      </c>
      <c r="U8" s="480">
        <v>706.20650422517679</v>
      </c>
      <c r="V8" s="480">
        <v>0.26289034362363389</v>
      </c>
      <c r="W8" s="480">
        <v>0.27902717510189307</v>
      </c>
      <c r="X8" s="480">
        <v>5.0362743071878407E-2</v>
      </c>
      <c r="Y8" s="480">
        <v>0.94312935867073611</v>
      </c>
      <c r="Z8" s="480">
        <v>1.0042783851656536</v>
      </c>
      <c r="AA8" s="481">
        <v>2.2227816148960509</v>
      </c>
      <c r="AB8" s="480"/>
      <c r="AC8" s="480"/>
      <c r="AD8" s="480"/>
      <c r="AE8" s="480"/>
      <c r="AF8" s="480"/>
      <c r="AG8" s="497"/>
      <c r="AI8" s="421" t="s">
        <v>343</v>
      </c>
      <c r="AJ8" s="421"/>
      <c r="AK8" s="421"/>
      <c r="AL8" s="421"/>
      <c r="AM8" s="421"/>
      <c r="AN8" s="421"/>
      <c r="AP8" s="422"/>
      <c r="AQ8" s="423"/>
    </row>
    <row r="9" spans="1:43" s="479" customFormat="1" ht="17.5" customHeight="1" x14ac:dyDescent="0.35">
      <c r="B9" s="500" t="s">
        <v>344</v>
      </c>
      <c r="C9" s="501">
        <f>'MN TEP CBA (2024)'!C9</f>
        <v>9915209.7284542732</v>
      </c>
      <c r="D9" s="501">
        <f>'MN TEP CBA (2024)'!D9</f>
        <v>16078387.465972796</v>
      </c>
      <c r="E9" s="501">
        <f>'MN TEP CBA (2024)'!E9</f>
        <v>3248081.5672741234</v>
      </c>
      <c r="F9" s="501">
        <f>'MN TEP CBA (2024)'!F9</f>
        <v>4484372.319364286</v>
      </c>
      <c r="G9" s="501">
        <f>SUM(C9:F9)</f>
        <v>33726051.081065476</v>
      </c>
      <c r="J9" s="497"/>
      <c r="L9" s="479">
        <v>8</v>
      </c>
      <c r="M9" s="480">
        <v>25.843831078045561</v>
      </c>
      <c r="N9" s="480">
        <v>3.5047501087064563</v>
      </c>
      <c r="O9" s="480">
        <v>32.368706179776765</v>
      </c>
      <c r="P9" s="480">
        <v>4.0146681789841026</v>
      </c>
      <c r="Q9" s="480">
        <v>3.4415273728875313</v>
      </c>
      <c r="R9" s="480">
        <v>84.205627836812056</v>
      </c>
      <c r="S9" s="480">
        <v>90.110526518330516</v>
      </c>
      <c r="T9" s="480">
        <v>748.8226242758933</v>
      </c>
      <c r="U9" s="480">
        <v>800.75110775062171</v>
      </c>
      <c r="V9" s="480">
        <v>0.28942264687283764</v>
      </c>
      <c r="W9" s="480">
        <v>0.30992156797301174</v>
      </c>
      <c r="X9" s="480">
        <v>5.4157102319806125E-2</v>
      </c>
      <c r="Y9" s="480">
        <v>1.0580060895024885</v>
      </c>
      <c r="Z9" s="480">
        <v>1.138041625421564</v>
      </c>
      <c r="AA9" s="481">
        <v>2.401590047714651</v>
      </c>
      <c r="AB9" s="480"/>
      <c r="AC9" s="480"/>
      <c r="AD9" s="480"/>
      <c r="AE9" s="480"/>
      <c r="AF9" s="480"/>
      <c r="AG9" s="497"/>
      <c r="AI9" s="515" t="s">
        <v>345</v>
      </c>
      <c r="AJ9" s="424" t="s">
        <v>346</v>
      </c>
      <c r="AK9" s="425">
        <f>-D9</f>
        <v>-16078387.465972796</v>
      </c>
      <c r="AL9" s="425">
        <f>AK9</f>
        <v>-16078387.465972796</v>
      </c>
      <c r="AM9" s="425">
        <f>AL9</f>
        <v>-16078387.465972796</v>
      </c>
      <c r="AN9" s="425">
        <f>AM9</f>
        <v>-16078387.465972796</v>
      </c>
      <c r="AP9" s="426"/>
      <c r="AQ9" s="427"/>
    </row>
    <row r="10" spans="1:43" s="479" customFormat="1" x14ac:dyDescent="0.35">
      <c r="B10" s="500" t="s">
        <v>347</v>
      </c>
      <c r="C10" s="501">
        <f>'MN TEP CBA (2024)'!C10</f>
        <v>3796708.1989438348</v>
      </c>
      <c r="D10" s="501">
        <f>'MN TEP CBA (2024)'!D10</f>
        <v>5681556.6292189863</v>
      </c>
      <c r="E10" s="501">
        <f>'MN TEP CBA (2024)'!E10</f>
        <v>3574045.3521351111</v>
      </c>
      <c r="F10" s="501">
        <f>'MN TEP CBA (2024)'!F10</f>
        <v>4496479.5234320108</v>
      </c>
      <c r="G10" s="501">
        <f t="shared" ref="G10:G11" si="0">SUM(C10:F10)</f>
        <v>17548789.703729942</v>
      </c>
      <c r="J10" s="497"/>
      <c r="L10" s="479">
        <v>9</v>
      </c>
      <c r="M10" s="480">
        <v>28.846470291222957</v>
      </c>
      <c r="N10" s="480">
        <v>3.9140259045155412</v>
      </c>
      <c r="O10" s="480">
        <v>36.129431366445388</v>
      </c>
      <c r="P10" s="480">
        <v>4.483490908964578</v>
      </c>
      <c r="Q10" s="480">
        <v>3.8440033123881765</v>
      </c>
      <c r="R10" s="480">
        <v>93.419922533649412</v>
      </c>
      <c r="S10" s="480">
        <v>100.91802242532819</v>
      </c>
      <c r="T10" s="480">
        <v>828.1422807556894</v>
      </c>
      <c r="U10" s="480">
        <v>893.78556030010361</v>
      </c>
      <c r="V10" s="480">
        <v>0.31761005009828547</v>
      </c>
      <c r="W10" s="480">
        <v>0.34346467679439852</v>
      </c>
      <c r="X10" s="480">
        <v>5.9399029086540815E-2</v>
      </c>
      <c r="Y10" s="480">
        <v>1.1687336593463444</v>
      </c>
      <c r="Z10" s="480">
        <v>1.2698078223675457</v>
      </c>
      <c r="AA10" s="481">
        <v>2.652527036092025</v>
      </c>
      <c r="AB10" s="480"/>
      <c r="AC10" s="480"/>
      <c r="AD10" s="480"/>
      <c r="AE10" s="480"/>
      <c r="AF10" s="480"/>
      <c r="AG10" s="497"/>
      <c r="AI10" s="428" t="s">
        <v>348</v>
      </c>
      <c r="AJ10" s="424" t="s">
        <v>346</v>
      </c>
      <c r="AK10" s="425" cm="1">
        <f t="array" ref="AK10">INDEX($T$2:$T$21,$B$3)*$AQ$24</f>
        <v>-7643377.6866506403</v>
      </c>
      <c r="AL10" s="429">
        <f>AK10</f>
        <v>-7643377.6866506403</v>
      </c>
      <c r="AM10" s="425" cm="1">
        <f t="array" ref="AM10">INDEX($U$2:$U$21,$B$3)*$AQ$24</f>
        <v>-8325035.617822405</v>
      </c>
      <c r="AN10" s="429">
        <f>AM10</f>
        <v>-8325035.617822405</v>
      </c>
      <c r="AP10" s="426"/>
      <c r="AQ10" s="430"/>
    </row>
    <row r="11" spans="1:43" s="479" customFormat="1" x14ac:dyDescent="0.35">
      <c r="B11" s="500" t="s">
        <v>27</v>
      </c>
      <c r="C11" s="501">
        <f>'MN TEP CBA (2024)'!C11</f>
        <v>13711917.927398108</v>
      </c>
      <c r="D11" s="501">
        <f>'MN TEP CBA (2024)'!D11</f>
        <v>21759944.095191784</v>
      </c>
      <c r="E11" s="501">
        <f>'MN TEP CBA (2024)'!E11</f>
        <v>6822126.9194092341</v>
      </c>
      <c r="F11" s="501">
        <f>'MN TEP CBA (2024)'!F11</f>
        <v>8980851.8427962959</v>
      </c>
      <c r="G11" s="501">
        <f t="shared" si="0"/>
        <v>51274840.784795418</v>
      </c>
      <c r="J11" s="497"/>
      <c r="L11" s="479">
        <v>10</v>
      </c>
      <c r="M11" s="480">
        <v>31.801148665080483</v>
      </c>
      <c r="N11" s="480">
        <v>4.3168096916573857</v>
      </c>
      <c r="O11" s="480">
        <v>39.830086886531213</v>
      </c>
      <c r="P11" s="480">
        <v>4.9448770857513429</v>
      </c>
      <c r="Q11" s="480">
        <v>4.2402044699961969</v>
      </c>
      <c r="R11" s="480">
        <v>102.3701522277875</v>
      </c>
      <c r="S11" s="480">
        <v>111.62717325824475</v>
      </c>
      <c r="T11" s="480">
        <v>904.65436161706043</v>
      </c>
      <c r="U11" s="480">
        <v>985.33398335581353</v>
      </c>
      <c r="V11" s="480">
        <v>0.34430822910346998</v>
      </c>
      <c r="W11" s="480">
        <v>0.37593401328383191</v>
      </c>
      <c r="X11" s="480">
        <v>6.4932832851415462E-2</v>
      </c>
      <c r="Y11" s="480">
        <v>1.2755288839122427</v>
      </c>
      <c r="Z11" s="480">
        <v>1.3996882191249946</v>
      </c>
      <c r="AA11" s="481">
        <v>2.9217062790320516</v>
      </c>
      <c r="AB11" s="480"/>
      <c r="AC11" s="480"/>
      <c r="AD11" s="480"/>
      <c r="AE11" s="480"/>
      <c r="AF11" s="480"/>
      <c r="AG11" s="497"/>
      <c r="AI11" s="428" t="s">
        <v>349</v>
      </c>
      <c r="AJ11" s="424" t="s">
        <v>346</v>
      </c>
      <c r="AK11" s="425" cm="1">
        <f t="array" ref="AK11">INDEX($R$2:$R$21,$B$3)*$AQ$24</f>
        <v>-864920.09602238832</v>
      </c>
      <c r="AL11" s="429">
        <f t="shared" ref="AL11:AL13" si="1">AK11</f>
        <v>-864920.09602238832</v>
      </c>
      <c r="AM11" s="425" cm="1">
        <f t="array" ref="AM11">INDEX($S$2:$S$21,$B$3)*$AQ$24</f>
        <v>-943132.18562374613</v>
      </c>
      <c r="AN11" s="429">
        <f t="shared" ref="AN11:AN13" si="2">AM11</f>
        <v>-943132.18562374613</v>
      </c>
      <c r="AP11" s="426"/>
      <c r="AQ11" s="430"/>
    </row>
    <row r="12" spans="1:43" s="479" customFormat="1" x14ac:dyDescent="0.35">
      <c r="J12" s="497"/>
      <c r="L12" s="479">
        <v>11</v>
      </c>
      <c r="M12" s="480">
        <v>34.708632273043868</v>
      </c>
      <c r="N12" s="480">
        <v>4.7130985751769092</v>
      </c>
      <c r="O12" s="480">
        <v>43.471632226480139</v>
      </c>
      <c r="P12" s="480">
        <v>5.3988233931924077</v>
      </c>
      <c r="Q12" s="480">
        <v>4.6301210112758131</v>
      </c>
      <c r="R12" s="480">
        <v>111.06388454409016</v>
      </c>
      <c r="S12" s="480">
        <v>122.23887392869335</v>
      </c>
      <c r="T12" s="480">
        <v>978.45824299453579</v>
      </c>
      <c r="U12" s="480">
        <v>1075.4201131100529</v>
      </c>
      <c r="V12" s="480">
        <v>0.37125445047007605</v>
      </c>
      <c r="W12" s="480">
        <v>0.4094254036249183</v>
      </c>
      <c r="X12" s="480">
        <v>7.1166061476047537E-2</v>
      </c>
      <c r="Y12" s="480">
        <v>1.3784358928652582</v>
      </c>
      <c r="Z12" s="480">
        <v>1.5275910801157493</v>
      </c>
      <c r="AA12" s="481">
        <v>3.229876706192818</v>
      </c>
      <c r="AB12" s="480"/>
      <c r="AC12" s="480"/>
      <c r="AD12" s="480"/>
      <c r="AE12" s="480"/>
      <c r="AF12" s="480"/>
      <c r="AG12" s="497"/>
      <c r="AI12" s="428" t="s">
        <v>350</v>
      </c>
      <c r="AJ12" s="424" t="s">
        <v>346</v>
      </c>
      <c r="AK12" s="425" cm="1">
        <f t="array" ref="AK12">INDEX($V$2:$V$21,$B$3)*$AQ$26</f>
        <v>-20361810.328511737</v>
      </c>
      <c r="AL12" s="429">
        <f t="shared" si="1"/>
        <v>-20361810.328511737</v>
      </c>
      <c r="AM12" s="425" cm="1">
        <f t="array" ref="AM12">INDEX($W$2:$W$21,$B$3)*$AQ$26</f>
        <v>-22232106.082545131</v>
      </c>
      <c r="AN12" s="429">
        <f t="shared" si="2"/>
        <v>-22232106.082545131</v>
      </c>
      <c r="AP12" s="431"/>
      <c r="AQ12" s="432"/>
    </row>
    <row r="13" spans="1:43" s="479" customFormat="1" x14ac:dyDescent="0.35">
      <c r="B13" s="500" t="str">
        <f>'MN TEP CBA (2024)'!B13</f>
        <v>Incremental EVs</v>
      </c>
      <c r="C13" s="494">
        <f>'MN TEP CBA (2024)'!C13</f>
        <v>13099</v>
      </c>
      <c r="D13" s="494">
        <f>'MN TEP CBA (2024)'!D13</f>
        <v>14310</v>
      </c>
      <c r="E13" s="494">
        <f>'MN TEP CBA (2024)'!E13</f>
        <v>18832</v>
      </c>
      <c r="F13" s="494">
        <f>'MN TEP CBA (2024)'!F13</f>
        <v>24738</v>
      </c>
      <c r="G13" s="502">
        <f>'MN TEP CBA (2024)'!G13</f>
        <v>70979</v>
      </c>
      <c r="J13" s="497"/>
      <c r="L13" s="479">
        <v>12</v>
      </c>
      <c r="M13" s="480">
        <v>37.569674952128842</v>
      </c>
      <c r="N13" s="480">
        <v>5.1028964703941693</v>
      </c>
      <c r="O13" s="480">
        <v>47.055011546962312</v>
      </c>
      <c r="P13" s="480">
        <v>5.8453343162611278</v>
      </c>
      <c r="Q13" s="480">
        <v>5.0137501337535708</v>
      </c>
      <c r="R13" s="480">
        <v>119.50847023299451</v>
      </c>
      <c r="S13" s="480">
        <v>132.75401120485131</v>
      </c>
      <c r="T13" s="480">
        <v>1049.6497835337309</v>
      </c>
      <c r="U13" s="480">
        <v>1164.0673066194277</v>
      </c>
      <c r="V13" s="480">
        <v>0.39631810711831161</v>
      </c>
      <c r="W13" s="480">
        <v>0.44126175332715345</v>
      </c>
      <c r="X13" s="480">
        <v>7.685490962344764E-2</v>
      </c>
      <c r="Y13" s="480">
        <v>1.477705339128738</v>
      </c>
      <c r="Z13" s="480">
        <v>1.6536850834907064</v>
      </c>
      <c r="AA13" s="481">
        <v>3.5158165301192108</v>
      </c>
      <c r="AB13" s="480"/>
      <c r="AC13" s="480"/>
      <c r="AD13" s="480"/>
      <c r="AE13" s="480"/>
      <c r="AF13" s="480"/>
      <c r="AG13" s="497"/>
      <c r="AI13" s="428" t="s">
        <v>352</v>
      </c>
      <c r="AJ13" s="424" t="s">
        <v>346</v>
      </c>
      <c r="AK13" s="425">
        <f>SUM(AK10:AK12)*0.02</f>
        <v>-577402.16222369543</v>
      </c>
      <c r="AL13" s="429">
        <f t="shared" si="1"/>
        <v>-577402.16222369543</v>
      </c>
      <c r="AM13" s="425">
        <f>SUM(AM10:AM12)*0.02</f>
        <v>-630005.47771982569</v>
      </c>
      <c r="AN13" s="429">
        <f t="shared" si="2"/>
        <v>-630005.47771982569</v>
      </c>
      <c r="AP13" s="426"/>
      <c r="AQ13" s="433"/>
    </row>
    <row r="14" spans="1:43" s="479" customFormat="1" ht="15" thickBot="1" x14ac:dyDescent="0.4">
      <c r="B14" s="500" t="str">
        <f>'MN TEP CBA (2024)'!B14</f>
        <v>School Bus Participants</v>
      </c>
      <c r="C14" s="493">
        <f>'MN TEP CBA (2024)'!C14</f>
        <v>0</v>
      </c>
      <c r="D14" s="493">
        <f>'MN TEP CBA (2024)'!D14</f>
        <v>0</v>
      </c>
      <c r="E14" s="493">
        <f>'MN TEP CBA (2024)'!E14</f>
        <v>2</v>
      </c>
      <c r="F14" s="493">
        <f>'MN TEP CBA (2024)'!F14</f>
        <v>0</v>
      </c>
      <c r="G14" s="493">
        <f>'MN TEP CBA (2024)'!G14</f>
        <v>2</v>
      </c>
      <c r="J14" s="497"/>
      <c r="L14" s="479">
        <v>13</v>
      </c>
      <c r="M14" s="480">
        <v>40.385018498392036</v>
      </c>
      <c r="N14" s="480">
        <v>5.4862136707395353</v>
      </c>
      <c r="O14" s="480">
        <v>50.581153927669114</v>
      </c>
      <c r="P14" s="480">
        <v>6.2844216460142315</v>
      </c>
      <c r="Q14" s="480">
        <v>5.3910956276715378</v>
      </c>
      <c r="R14" s="480">
        <v>127.71104938573932</v>
      </c>
      <c r="S14" s="480">
        <v>143.17346378556309</v>
      </c>
      <c r="T14" s="480">
        <v>1118.3214488953668</v>
      </c>
      <c r="U14" s="480">
        <v>1251.2985478607438</v>
      </c>
      <c r="V14" s="480">
        <v>0.42040470363153437</v>
      </c>
      <c r="W14" s="480">
        <v>0.47252958764538222</v>
      </c>
      <c r="X14" s="480">
        <v>8.1980736014493474E-2</v>
      </c>
      <c r="Y14" s="480">
        <v>1.5736018940912584</v>
      </c>
      <c r="Z14" s="480">
        <v>1.7781724759129167</v>
      </c>
      <c r="AA14" s="481">
        <v>3.7778129634580302</v>
      </c>
      <c r="AB14" s="480"/>
      <c r="AC14" s="480"/>
      <c r="AD14" s="480"/>
      <c r="AE14" s="480"/>
      <c r="AF14" s="480"/>
      <c r="AG14" s="497"/>
      <c r="AI14" s="434" t="s">
        <v>354</v>
      </c>
      <c r="AJ14" s="435" t="s">
        <v>346</v>
      </c>
      <c r="AK14" s="436">
        <f>SUM(AK9:AK13)</f>
        <v>-45525897.739381261</v>
      </c>
      <c r="AL14" s="436">
        <f>SUM(AL9:AL13)</f>
        <v>-45525897.739381261</v>
      </c>
      <c r="AM14" s="436">
        <f>SUM(AM9:AM13)</f>
        <v>-48208666.829683907</v>
      </c>
      <c r="AN14" s="436">
        <f>SUM(AN9:AN13)</f>
        <v>-48208666.829683907</v>
      </c>
      <c r="AP14" s="431"/>
      <c r="AQ14" s="437"/>
    </row>
    <row r="15" spans="1:43" s="479" customFormat="1" x14ac:dyDescent="0.35">
      <c r="B15" s="500" t="str">
        <f>'MN TEP CBA (2024)'!B15</f>
        <v>EVSI Program Participants</v>
      </c>
      <c r="C15" s="502">
        <f>'MN TEP CBA (2024)'!C15</f>
        <v>756</v>
      </c>
      <c r="D15" s="502">
        <f>'MN TEP CBA (2024)'!D15</f>
        <v>1352</v>
      </c>
      <c r="E15" s="502">
        <f>'MN TEP CBA (2024)'!E15</f>
        <v>1902</v>
      </c>
      <c r="F15" s="502">
        <f>'MN TEP CBA (2024)'!F15</f>
        <v>2652</v>
      </c>
      <c r="G15" s="502">
        <f>'MN TEP CBA (2024)'!G15</f>
        <v>6662</v>
      </c>
      <c r="J15" s="497"/>
      <c r="L15" s="479">
        <v>14</v>
      </c>
      <c r="M15" s="480">
        <v>43.155392859259933</v>
      </c>
      <c r="N15" s="480">
        <v>5.863066436250441</v>
      </c>
      <c r="O15" s="480">
        <v>54.05097360820006</v>
      </c>
      <c r="P15" s="480">
        <v>6.716104008217564</v>
      </c>
      <c r="Q15" s="480">
        <v>5.7621674576283297</v>
      </c>
      <c r="R15" s="480">
        <v>135.67855747147627</v>
      </c>
      <c r="S15" s="480">
        <v>153.49810237376892</v>
      </c>
      <c r="T15" s="480">
        <v>1184.5624318523821</v>
      </c>
      <c r="U15" s="480">
        <v>1337.1364536901706</v>
      </c>
      <c r="V15" s="480">
        <v>0.44360685138437617</v>
      </c>
      <c r="W15" s="480">
        <v>0.50331139266401981</v>
      </c>
      <c r="X15" s="480">
        <v>8.6873860276136763E-2</v>
      </c>
      <c r="Y15" s="480">
        <v>1.6660356944205703</v>
      </c>
      <c r="Z15" s="480">
        <v>1.9008024690143128</v>
      </c>
      <c r="AA15" s="481">
        <v>4.032205480318094</v>
      </c>
      <c r="AB15" s="480"/>
      <c r="AC15" s="480"/>
      <c r="AD15" s="480"/>
      <c r="AE15" s="480"/>
      <c r="AF15" s="480"/>
      <c r="AG15" s="497"/>
      <c r="AI15" s="421"/>
      <c r="AJ15" s="438"/>
      <c r="AK15" s="438"/>
      <c r="AL15" s="438"/>
      <c r="AM15" s="438"/>
      <c r="AN15" s="438"/>
      <c r="AP15" s="431"/>
      <c r="AQ15" s="439"/>
    </row>
    <row r="16" spans="1:43" s="479" customFormat="1" x14ac:dyDescent="0.35">
      <c r="B16" s="500" t="str">
        <f>'MN TEP CBA (2024)'!B16</f>
        <v>EVSE Program Participants</v>
      </c>
      <c r="C16" s="502">
        <f>'MN TEP CBA (2024)'!C16</f>
        <v>605</v>
      </c>
      <c r="D16" s="502">
        <f>'MN TEP CBA (2024)'!D16</f>
        <v>1082</v>
      </c>
      <c r="E16" s="502">
        <f>'MN TEP CBA (2024)'!E16</f>
        <v>1383</v>
      </c>
      <c r="F16" s="502">
        <f>'MN TEP CBA (2024)'!F16</f>
        <v>2040</v>
      </c>
      <c r="G16" s="502">
        <f>'MN TEP CBA (2024)'!G16</f>
        <v>5110</v>
      </c>
      <c r="J16" s="497"/>
      <c r="L16" s="479">
        <v>15</v>
      </c>
      <c r="M16" s="480">
        <v>45.881516322785799</v>
      </c>
      <c r="N16" s="480">
        <v>6.2335387825062849</v>
      </c>
      <c r="O16" s="480">
        <v>57.465370225101999</v>
      </c>
      <c r="P16" s="480">
        <v>7.1404776421642824</v>
      </c>
      <c r="Q16" s="480">
        <v>6.1269813642216553</v>
      </c>
      <c r="R16" s="480">
        <v>143.41773120136841</v>
      </c>
      <c r="S16" s="480">
        <v>163.72878974926502</v>
      </c>
      <c r="T16" s="480">
        <v>1248.4587681361229</v>
      </c>
      <c r="U16" s="480">
        <v>1421.6032797072203</v>
      </c>
      <c r="V16" s="480">
        <v>0.46560203344892237</v>
      </c>
      <c r="W16" s="480">
        <v>0.53313340780547647</v>
      </c>
      <c r="X16" s="480">
        <v>9.1593588058666214E-2</v>
      </c>
      <c r="Y16" s="480">
        <v>1.7543343392149138</v>
      </c>
      <c r="Z16" s="480">
        <v>2.0205215745120353</v>
      </c>
      <c r="AA16" s="481">
        <v>4.2818091400869731</v>
      </c>
      <c r="AB16" s="480"/>
      <c r="AC16" s="480"/>
      <c r="AD16" s="480"/>
      <c r="AE16" s="480"/>
      <c r="AF16" s="480"/>
      <c r="AG16" s="497"/>
      <c r="AI16" s="428"/>
      <c r="AJ16" s="424"/>
      <c r="AK16" s="424"/>
      <c r="AL16" s="424"/>
      <c r="AM16" s="429"/>
      <c r="AN16" s="429"/>
      <c r="AP16" s="431"/>
      <c r="AQ16" s="440"/>
    </row>
    <row r="17" spans="1:43" s="479" customFormat="1" x14ac:dyDescent="0.35">
      <c r="B17" s="500" t="str">
        <f>'MN TEP CBA (2024)'!B17</f>
        <v>Participation Rate</v>
      </c>
      <c r="C17" s="503">
        <f>'MN TEP CBA (2024)'!C17</f>
        <v>0.10390106114970608</v>
      </c>
      <c r="D17" s="503">
        <f>'MN TEP CBA (2024)'!D17</f>
        <v>0.17009084556254367</v>
      </c>
      <c r="E17" s="503">
        <f>'MN TEP CBA (2024)'!E17</f>
        <v>0.17443712829226848</v>
      </c>
      <c r="F17" s="503">
        <f>'MN TEP CBA (2024)'!F17</f>
        <v>0.18966771768130003</v>
      </c>
      <c r="G17" s="503">
        <f>'MN TEP CBA (2024)'!G17</f>
        <v>0.16585187168035617</v>
      </c>
      <c r="J17" s="497"/>
      <c r="L17" s="479">
        <v>16</v>
      </c>
      <c r="M17" s="480">
        <v>48.564095703883609</v>
      </c>
      <c r="N17" s="480">
        <v>6.5975935794692369</v>
      </c>
      <c r="O17" s="480">
        <v>60.825229045122157</v>
      </c>
      <c r="P17" s="480">
        <v>7.5575000156404668</v>
      </c>
      <c r="Q17" s="480">
        <v>6.4856186790869437</v>
      </c>
      <c r="R17" s="480">
        <v>150.9351142246343</v>
      </c>
      <c r="S17" s="480">
        <v>173.86638084080212</v>
      </c>
      <c r="T17" s="480">
        <v>1310.0934481820734</v>
      </c>
      <c r="U17" s="480">
        <v>1504.7209260250625</v>
      </c>
      <c r="V17" s="480">
        <v>0.48642009587887863</v>
      </c>
      <c r="W17" s="480">
        <v>0.561979916786566</v>
      </c>
      <c r="X17" s="480">
        <v>9.6422976024377716E-2</v>
      </c>
      <c r="Y17" s="480">
        <v>1.8390139841068962</v>
      </c>
      <c r="Z17" s="480">
        <v>2.1378577649049078</v>
      </c>
      <c r="AA17" s="481">
        <v>4.541714437565112</v>
      </c>
      <c r="AB17" s="480"/>
      <c r="AC17" s="480"/>
      <c r="AD17" s="480"/>
      <c r="AE17" s="480"/>
      <c r="AF17" s="480"/>
      <c r="AG17" s="497"/>
      <c r="AI17" s="428"/>
      <c r="AJ17" s="424"/>
      <c r="AK17" s="424"/>
      <c r="AL17" s="424"/>
      <c r="AM17" s="429"/>
      <c r="AN17" s="429"/>
      <c r="AP17" s="441"/>
      <c r="AQ17" s="442"/>
    </row>
    <row r="18" spans="1:43" s="479" customFormat="1" x14ac:dyDescent="0.35">
      <c r="B18" s="500" t="str">
        <f>'MN TEP CBA (2024)'!B18</f>
        <v>TOU Off-Peak rate ($/kWh)</v>
      </c>
      <c r="C18" s="504">
        <f>'MN TEP CBA (2024)'!C18</f>
        <v>4.1700000000000001E-2</v>
      </c>
      <c r="D18" s="539"/>
      <c r="E18" s="539"/>
      <c r="F18" s="539"/>
      <c r="G18" s="539"/>
      <c r="J18" s="497"/>
      <c r="L18" s="479">
        <v>17</v>
      </c>
      <c r="M18" s="480">
        <v>51.20382652758731</v>
      </c>
      <c r="N18" s="480">
        <v>6.9552627750748668</v>
      </c>
      <c r="O18" s="480">
        <v>64.13142119473541</v>
      </c>
      <c r="P18" s="480">
        <v>7.96720772479601</v>
      </c>
      <c r="Q18" s="480">
        <v>6.8380434583347203</v>
      </c>
      <c r="R18" s="480">
        <v>158.23706266135378</v>
      </c>
      <c r="S18" s="480">
        <v>183.91172279752755</v>
      </c>
      <c r="T18" s="480">
        <v>1369.5465249202673</v>
      </c>
      <c r="U18" s="480">
        <v>1586.5109429486699</v>
      </c>
      <c r="V18" s="480">
        <v>0.50715908242118923</v>
      </c>
      <c r="W18" s="480">
        <v>0.5913485689580904</v>
      </c>
      <c r="X18" s="480">
        <v>0.10116866707916362</v>
      </c>
      <c r="Y18" s="480">
        <v>1.9207606316666057</v>
      </c>
      <c r="Z18" s="480">
        <v>2.2536198757231651</v>
      </c>
      <c r="AA18" s="481">
        <v>4.8016751497274921</v>
      </c>
      <c r="AB18" s="480"/>
      <c r="AC18" s="480"/>
      <c r="AD18" s="480"/>
      <c r="AE18" s="480"/>
      <c r="AF18" s="480"/>
      <c r="AG18" s="497"/>
      <c r="AI18" s="428"/>
      <c r="AJ18" s="424"/>
      <c r="AK18" s="424"/>
      <c r="AL18" s="424"/>
      <c r="AM18" s="429"/>
      <c r="AN18" s="429"/>
    </row>
    <row r="19" spans="1:43" s="479" customFormat="1" x14ac:dyDescent="0.35">
      <c r="B19" s="500" t="str">
        <f>'MN TEP CBA (2024)'!B19</f>
        <v>Flat rate ($/kWh)</v>
      </c>
      <c r="C19" s="504">
        <f>'MN TEP CBA (2024)'!C19</f>
        <v>9.3023333333333333E-2</v>
      </c>
      <c r="D19" s="539" t="str">
        <f>'MN TEP CBA (2024)'!D19</f>
        <v>Summer/non-summer blended</v>
      </c>
      <c r="E19" s="539">
        <f>'MN TEP CBA (2024)'!E19</f>
        <v>0</v>
      </c>
      <c r="F19" s="539">
        <f>'MN TEP CBA (2024)'!F19</f>
        <v>0</v>
      </c>
      <c r="G19" s="539">
        <f>'MN TEP CBA (2024)'!G19</f>
        <v>0</v>
      </c>
      <c r="J19" s="497"/>
      <c r="L19" s="479">
        <v>18</v>
      </c>
      <c r="M19" s="480">
        <v>53.801393209382873</v>
      </c>
      <c r="N19" s="480">
        <v>7.3065828253783351</v>
      </c>
      <c r="O19" s="480">
        <v>67.384803886005372</v>
      </c>
      <c r="P19" s="480">
        <v>8.3696425298021211</v>
      </c>
      <c r="Q19" s="480">
        <v>7.1842866292985432</v>
      </c>
      <c r="R19" s="480">
        <v>165.32975047671346</v>
      </c>
      <c r="S19" s="480">
        <v>193.86565505977745</v>
      </c>
      <c r="T19" s="480">
        <v>1426.8952177503811</v>
      </c>
      <c r="U19" s="480">
        <v>1666.9945365622682</v>
      </c>
      <c r="V19" s="480">
        <v>0.52639819103826813</v>
      </c>
      <c r="W19" s="480">
        <v>0.6191921418216102</v>
      </c>
      <c r="X19" s="480">
        <v>0.10553261768369165</v>
      </c>
      <c r="Y19" s="480">
        <v>1.9994270622985497</v>
      </c>
      <c r="Z19" s="480">
        <v>2.3674689389416734</v>
      </c>
      <c r="AA19" s="481">
        <v>5.0450449489264315</v>
      </c>
      <c r="AB19" s="480"/>
      <c r="AC19" s="480"/>
      <c r="AD19" s="480"/>
      <c r="AE19" s="480"/>
      <c r="AF19" s="480"/>
      <c r="AG19" s="497"/>
      <c r="AI19" s="428"/>
      <c r="AJ19" s="424"/>
      <c r="AK19" s="424"/>
      <c r="AL19" s="424"/>
      <c r="AM19" s="429"/>
      <c r="AN19" s="429"/>
      <c r="AP19" s="420" t="s">
        <v>361</v>
      </c>
      <c r="AQ19" s="419"/>
    </row>
    <row r="20" spans="1:43" s="479" customFormat="1" ht="15" thickBot="1" x14ac:dyDescent="0.4">
      <c r="B20" s="500" t="str">
        <f>'MN TEP CBA (2024)'!B20</f>
        <v>Off-peak/Flate rate ratio</v>
      </c>
      <c r="C20" s="505">
        <f>'MN TEP CBA (2024)'!C20</f>
        <v>0.4482746264378113</v>
      </c>
      <c r="D20" s="539"/>
      <c r="E20" s="539"/>
      <c r="F20" s="539"/>
      <c r="G20" s="539"/>
      <c r="J20" s="497"/>
      <c r="L20" s="479">
        <v>19</v>
      </c>
      <c r="M20" s="480">
        <v>56.357469232659916</v>
      </c>
      <c r="N20" s="480">
        <v>7.651594373919588</v>
      </c>
      <c r="O20" s="480">
        <v>70.586220638837815</v>
      </c>
      <c r="P20" s="480">
        <v>8.7648509875662644</v>
      </c>
      <c r="Q20" s="480">
        <v>7.5243834834161323</v>
      </c>
      <c r="R20" s="480">
        <v>172.21917470123631</v>
      </c>
      <c r="S20" s="480">
        <v>203.7290094292247</v>
      </c>
      <c r="T20" s="480">
        <v>1482.2140128365556</v>
      </c>
      <c r="U20" s="480">
        <v>1746.1925742275371</v>
      </c>
      <c r="V20" s="480">
        <v>0.54504530059823553</v>
      </c>
      <c r="W20" s="480">
        <v>0.64677219309139344</v>
      </c>
      <c r="X20" s="480">
        <v>0.1095873539232312</v>
      </c>
      <c r="Y20" s="480">
        <v>2.0747294557724203</v>
      </c>
      <c r="Z20" s="480">
        <v>2.4788451211895333</v>
      </c>
      <c r="AA20" s="481">
        <v>5.2753050919440057</v>
      </c>
      <c r="AB20" s="480"/>
      <c r="AC20" s="480"/>
      <c r="AD20" s="480"/>
      <c r="AE20" s="480"/>
      <c r="AF20" s="480"/>
      <c r="AG20" s="497"/>
      <c r="AI20" s="434"/>
      <c r="AJ20" s="435"/>
      <c r="AK20" s="436"/>
      <c r="AL20" s="435"/>
      <c r="AM20" s="436"/>
      <c r="AN20" s="436"/>
      <c r="AP20" s="422" t="s">
        <v>363</v>
      </c>
      <c r="AQ20" s="423">
        <f>B3</f>
        <v>10</v>
      </c>
    </row>
    <row r="21" spans="1:43" s="479" customFormat="1" x14ac:dyDescent="0.35">
      <c r="J21" s="497"/>
      <c r="L21" s="479">
        <v>20</v>
      </c>
      <c r="M21" s="480">
        <v>58.872717323328956</v>
      </c>
      <c r="N21" s="480">
        <v>7.990341946973718</v>
      </c>
      <c r="O21" s="480">
        <v>73.736501499684067</v>
      </c>
      <c r="P21" s="480">
        <v>9.152884102643462</v>
      </c>
      <c r="Q21" s="480">
        <v>7.8583733658374797</v>
      </c>
      <c r="R21" s="480">
        <v>178.91116050140863</v>
      </c>
      <c r="S21" s="480">
        <v>213.50261013838849</v>
      </c>
      <c r="T21" s="480">
        <v>1535.5747598522098</v>
      </c>
      <c r="U21" s="480">
        <v>1824.1255899939899</v>
      </c>
      <c r="V21" s="480">
        <v>0.56345983602309602</v>
      </c>
      <c r="W21" s="480">
        <v>0.67460697633356281</v>
      </c>
      <c r="X21" s="480">
        <v>0.11375397195428766</v>
      </c>
      <c r="Y21" s="480">
        <v>2.1468633676595887</v>
      </c>
      <c r="Z21" s="480">
        <v>2.5878802803974281</v>
      </c>
      <c r="AA21" s="481">
        <v>5.5162941312552505</v>
      </c>
      <c r="AB21" s="480"/>
      <c r="AC21" s="480"/>
      <c r="AD21" s="480"/>
      <c r="AE21" s="480"/>
      <c r="AF21" s="480"/>
      <c r="AG21" s="497"/>
      <c r="AI21" s="421" t="s">
        <v>364</v>
      </c>
      <c r="AJ21" s="438"/>
      <c r="AK21" s="438"/>
      <c r="AL21" s="438"/>
      <c r="AM21" s="438"/>
      <c r="AN21" s="438"/>
      <c r="AO21" s="443"/>
      <c r="AP21" s="426"/>
      <c r="AQ21" s="427"/>
    </row>
    <row r="22" spans="1:43" s="479" customFormat="1" x14ac:dyDescent="0.35">
      <c r="J22" s="497"/>
      <c r="AG22" s="497"/>
      <c r="AI22" s="428" t="s">
        <v>365</v>
      </c>
      <c r="AJ22" s="424" t="s">
        <v>346</v>
      </c>
      <c r="AK22" s="424" t="s">
        <v>346</v>
      </c>
      <c r="AL22" s="424" t="s">
        <v>346</v>
      </c>
      <c r="AM22" s="425" cm="1">
        <f t="array" ref="AM22">INDEX($X$2:$X$21,$B$3)*$AQ$26</f>
        <v>-3840018.6659963652</v>
      </c>
      <c r="AN22" s="424">
        <f>AM22</f>
        <v>-3840018.6659963652</v>
      </c>
      <c r="AO22" s="443"/>
      <c r="AP22" s="426" t="s">
        <v>366</v>
      </c>
      <c r="AQ22" s="430">
        <v>8.6999999999999966E-2</v>
      </c>
    </row>
    <row r="23" spans="1:43" s="479" customFormat="1" x14ac:dyDescent="0.35">
      <c r="J23" s="497"/>
      <c r="AG23" s="497"/>
      <c r="AI23" s="428" t="s">
        <v>367</v>
      </c>
      <c r="AJ23" s="424" t="s">
        <v>346</v>
      </c>
      <c r="AK23" s="424" t="s">
        <v>346</v>
      </c>
      <c r="AL23" s="424" t="s">
        <v>346</v>
      </c>
      <c r="AM23" s="424">
        <v>0</v>
      </c>
      <c r="AN23" s="424">
        <v>0</v>
      </c>
      <c r="AO23" s="443"/>
      <c r="AP23" s="426" t="s">
        <v>368</v>
      </c>
      <c r="AQ23" s="430">
        <v>0.10560000000000003</v>
      </c>
    </row>
    <row r="24" spans="1:43" s="479" customFormat="1" x14ac:dyDescent="0.35">
      <c r="J24" s="497"/>
      <c r="AG24" s="497"/>
      <c r="AI24" s="428" t="s">
        <v>370</v>
      </c>
      <c r="AJ24" s="424" t="s">
        <v>346</v>
      </c>
      <c r="AK24" s="424" t="s">
        <v>346</v>
      </c>
      <c r="AL24" s="424" t="s">
        <v>346</v>
      </c>
      <c r="AM24" s="425" cm="1">
        <f t="array" ref="AM24">INDEX($N$2:$N$21,$B$3)*$AQ$27+INDEX($P$2:$P$21,$B$3)*$AQ$28</f>
        <v>33013544.661730997</v>
      </c>
      <c r="AN24" s="424">
        <f>AM24</f>
        <v>33013544.661730997</v>
      </c>
      <c r="AO24" s="443"/>
      <c r="AP24" s="431" t="s">
        <v>371</v>
      </c>
      <c r="AQ24" s="444">
        <f>D3*(1+AQ23)*D13+D4*(1+AQ23)*D14</f>
        <v>-8448.9480302600659</v>
      </c>
    </row>
    <row r="25" spans="1:43" s="479" customFormat="1" x14ac:dyDescent="0.35">
      <c r="J25" s="497"/>
      <c r="AG25" s="497"/>
      <c r="AI25" s="428" t="s">
        <v>372</v>
      </c>
      <c r="AJ25" s="445" t="s">
        <v>346</v>
      </c>
      <c r="AK25" s="424" t="s">
        <v>346</v>
      </c>
      <c r="AL25" s="424" t="s">
        <v>346</v>
      </c>
      <c r="AM25" s="424">
        <v>0</v>
      </c>
      <c r="AN25" s="424">
        <v>0</v>
      </c>
      <c r="AO25" s="443"/>
      <c r="AP25" s="426" t="s">
        <v>373</v>
      </c>
      <c r="AQ25" s="446">
        <f>C3*D13+C4*D14</f>
        <v>-54405078.456468739</v>
      </c>
    </row>
    <row r="26" spans="1:43" s="479" customFormat="1" x14ac:dyDescent="0.35">
      <c r="A26" s="508"/>
      <c r="B26" s="508"/>
      <c r="C26" s="508"/>
      <c r="D26" s="508"/>
      <c r="E26" s="508"/>
      <c r="F26" s="508"/>
      <c r="G26" s="508"/>
      <c r="I26" s="508"/>
      <c r="J26" s="509"/>
      <c r="K26" s="508"/>
      <c r="L26" s="508"/>
      <c r="M26" s="508"/>
      <c r="N26" s="508"/>
      <c r="O26" s="508"/>
      <c r="P26" s="508"/>
      <c r="Q26" s="508"/>
      <c r="R26" s="508"/>
      <c r="S26" s="508"/>
      <c r="T26" s="508"/>
      <c r="U26" s="508"/>
      <c r="V26" s="508"/>
      <c r="W26" s="508"/>
      <c r="X26" s="508"/>
      <c r="AG26" s="497"/>
      <c r="AI26" s="428" t="s">
        <v>374</v>
      </c>
      <c r="AJ26" s="445" t="s">
        <v>346</v>
      </c>
      <c r="AK26" s="424" t="s">
        <v>346</v>
      </c>
      <c r="AL26" s="424" t="s">
        <v>346</v>
      </c>
      <c r="AM26" s="424">
        <v>0</v>
      </c>
      <c r="AN26" s="424">
        <v>0</v>
      </c>
      <c r="AO26" s="443"/>
      <c r="AP26" s="431" t="s">
        <v>375</v>
      </c>
      <c r="AQ26" s="447">
        <f>AQ25*(1+AQ22)</f>
        <v>-59138320.282181516</v>
      </c>
    </row>
    <row r="27" spans="1:43" s="479" customFormat="1" x14ac:dyDescent="0.35">
      <c r="A27" s="511"/>
      <c r="B27" s="511"/>
      <c r="C27" s="511"/>
      <c r="D27" s="511"/>
      <c r="E27" s="511"/>
      <c r="F27" s="511"/>
      <c r="G27" s="511"/>
      <c r="I27" s="511"/>
      <c r="J27" s="512"/>
      <c r="K27" s="511"/>
      <c r="L27" s="511"/>
      <c r="M27" s="511"/>
      <c r="N27" s="511"/>
      <c r="O27" s="511"/>
      <c r="P27" s="511"/>
      <c r="Q27" s="511"/>
      <c r="R27" s="511"/>
      <c r="S27" s="511"/>
      <c r="T27" s="511"/>
      <c r="U27" s="511"/>
      <c r="V27" s="511"/>
      <c r="W27" s="511"/>
      <c r="X27" s="511"/>
      <c r="AG27" s="497"/>
      <c r="AI27" s="428" t="s">
        <v>376</v>
      </c>
      <c r="AJ27" s="425" cm="1">
        <f t="array" ref="AJ27">INDEX($M$2:$M$21,$B$3)*$AQ$27+INDEX($O$2:$O$21,$B$3)*$AQ$28</f>
        <v>243204754.60800254</v>
      </c>
      <c r="AK27" s="424" t="s">
        <v>346</v>
      </c>
      <c r="AL27" s="424" t="s">
        <v>346</v>
      </c>
      <c r="AM27" s="425">
        <f>AJ27</f>
        <v>243204754.60800254</v>
      </c>
      <c r="AN27" s="424">
        <f>AJ27</f>
        <v>243204754.60800254</v>
      </c>
      <c r="AO27" s="443"/>
      <c r="AP27" s="431" t="s">
        <v>377</v>
      </c>
      <c r="AQ27" s="448">
        <f>E3*D13</f>
        <v>7647672.0123966951</v>
      </c>
    </row>
    <row r="28" spans="1:43" s="479" customFormat="1" x14ac:dyDescent="0.35">
      <c r="J28" s="497"/>
      <c r="AG28" s="497"/>
      <c r="AI28" s="428" t="s">
        <v>378</v>
      </c>
      <c r="AJ28" s="424" t="s">
        <v>346</v>
      </c>
      <c r="AK28" s="424">
        <v>0</v>
      </c>
      <c r="AL28" s="424">
        <v>0</v>
      </c>
      <c r="AM28" s="424">
        <v>0</v>
      </c>
      <c r="AN28" s="424">
        <v>0</v>
      </c>
      <c r="AO28" s="443"/>
      <c r="AP28" s="431" t="s">
        <v>379</v>
      </c>
      <c r="AQ28" s="448">
        <f>F4*D14</f>
        <v>0</v>
      </c>
    </row>
    <row r="29" spans="1:43" s="479" customFormat="1" x14ac:dyDescent="0.35">
      <c r="J29" s="497"/>
      <c r="AG29" s="497"/>
      <c r="AI29" s="428" t="s">
        <v>380</v>
      </c>
      <c r="AJ29" s="449" t="s">
        <v>346</v>
      </c>
      <c r="AK29" s="424">
        <v>0</v>
      </c>
      <c r="AL29" s="424">
        <v>0</v>
      </c>
      <c r="AM29" s="424">
        <v>0</v>
      </c>
      <c r="AN29" s="424">
        <v>0</v>
      </c>
      <c r="AO29" s="443"/>
      <c r="AP29" s="431" t="s">
        <v>381</v>
      </c>
      <c r="AQ29" s="440">
        <f>D13</f>
        <v>14310</v>
      </c>
    </row>
    <row r="30" spans="1:43" s="479" customFormat="1" ht="15" thickBot="1" x14ac:dyDescent="0.4">
      <c r="J30" s="497"/>
      <c r="AG30" s="497"/>
      <c r="AI30" s="434" t="s">
        <v>354</v>
      </c>
      <c r="AJ30" s="436">
        <f t="shared" ref="AJ30:AN30" si="3">SUM(AJ22:AJ29)</f>
        <v>243204754.60800254</v>
      </c>
      <c r="AK30" s="436">
        <f t="shared" si="3"/>
        <v>0</v>
      </c>
      <c r="AL30" s="436">
        <f t="shared" si="3"/>
        <v>0</v>
      </c>
      <c r="AM30" s="436">
        <f t="shared" si="3"/>
        <v>272378280.60373718</v>
      </c>
      <c r="AN30" s="436">
        <f t="shared" si="3"/>
        <v>272378280.60373718</v>
      </c>
      <c r="AO30" s="443"/>
      <c r="AP30" s="431" t="s">
        <v>406</v>
      </c>
      <c r="AQ30" s="440">
        <f>D14</f>
        <v>0</v>
      </c>
    </row>
    <row r="31" spans="1:43" s="479" customFormat="1" x14ac:dyDescent="0.35">
      <c r="J31" s="497"/>
      <c r="AG31" s="497"/>
      <c r="AI31" s="421" t="s">
        <v>383</v>
      </c>
      <c r="AJ31" s="429"/>
      <c r="AK31" s="429"/>
      <c r="AL31" s="429"/>
      <c r="AM31" s="429"/>
      <c r="AN31" s="429"/>
      <c r="AO31" s="443"/>
    </row>
    <row r="32" spans="1:43" s="479" customFormat="1" x14ac:dyDescent="0.35">
      <c r="J32" s="497"/>
      <c r="AG32" s="497"/>
      <c r="AI32" s="428" t="s">
        <v>384</v>
      </c>
      <c r="AJ32" s="425" cm="1">
        <f t="array" ref="AJ32">(INDEX($Z$2:$Z$21,$B$3)*$AQ$26)*(1-D17)+(INDEX($Z$2:$Z$21,$B$3)*$AQ$26)*(D17)*C20</f>
        <v>-75007300.114547044</v>
      </c>
      <c r="AK32" s="424" t="s">
        <v>346</v>
      </c>
      <c r="AL32" s="425" cm="1">
        <f t="array" ref="AL32">(INDEX($Y$2:$Y$21,$B$3)*$AQ$26*-1)*(1-D17)+(INDEX($Y$2:$Y$21,$B$3)*$AQ$26*-1)*D17*C20</f>
        <v>68353778.000781313</v>
      </c>
      <c r="AM32" s="424" t="s">
        <v>346</v>
      </c>
      <c r="AN32" s="424" t="s">
        <v>346</v>
      </c>
      <c r="AO32" s="443"/>
      <c r="AP32" s="420" t="s">
        <v>385</v>
      </c>
      <c r="AQ32" s="419"/>
    </row>
    <row r="33" spans="10:43" s="479" customFormat="1" x14ac:dyDescent="0.35">
      <c r="J33" s="497"/>
      <c r="AG33" s="497"/>
      <c r="AI33" s="428" t="s">
        <v>386</v>
      </c>
      <c r="AJ33" s="425">
        <v>0</v>
      </c>
      <c r="AK33" s="424" t="s">
        <v>346</v>
      </c>
      <c r="AL33" s="424" t="s">
        <v>346</v>
      </c>
      <c r="AM33" s="424" t="s">
        <v>346</v>
      </c>
      <c r="AN33" s="424" t="s">
        <v>346</v>
      </c>
      <c r="AO33" s="443"/>
      <c r="AP33" s="422"/>
      <c r="AQ33" s="450"/>
    </row>
    <row r="34" spans="10:43" s="479" customFormat="1" x14ac:dyDescent="0.35">
      <c r="J34" s="497"/>
      <c r="AG34" s="497"/>
      <c r="AI34" s="428" t="s">
        <v>387</v>
      </c>
      <c r="AJ34" s="425">
        <f>-1*AK44</f>
        <v>0</v>
      </c>
      <c r="AK34" s="424" t="s">
        <v>346</v>
      </c>
      <c r="AL34" s="424" t="s">
        <v>346</v>
      </c>
      <c r="AM34" s="451">
        <f>AJ34</f>
        <v>0</v>
      </c>
      <c r="AN34" s="424" t="s">
        <v>346</v>
      </c>
      <c r="AO34" s="443"/>
      <c r="AP34" s="426"/>
      <c r="AQ34" s="452"/>
    </row>
    <row r="35" spans="10:43" s="479" customFormat="1" x14ac:dyDescent="0.35">
      <c r="J35" s="497"/>
      <c r="AG35" s="497"/>
      <c r="AI35" s="428" t="s">
        <v>388</v>
      </c>
      <c r="AJ35" s="425">
        <f>(I3*D13+I4*D14)*-1</f>
        <v>-243270000</v>
      </c>
      <c r="AK35" s="424" t="s">
        <v>346</v>
      </c>
      <c r="AL35" s="424" t="s">
        <v>346</v>
      </c>
      <c r="AM35" s="445">
        <f>AJ35</f>
        <v>-243270000</v>
      </c>
      <c r="AN35" s="424" t="s">
        <v>346</v>
      </c>
      <c r="AO35" s="443"/>
      <c r="AP35" s="426" t="s">
        <v>389</v>
      </c>
      <c r="AQ35" s="452">
        <f>$AA$2*$AQ$26/2000</f>
        <v>-11611.825525524275</v>
      </c>
    </row>
    <row r="36" spans="10:43" s="479" customFormat="1" x14ac:dyDescent="0.35">
      <c r="J36" s="497"/>
      <c r="AG36" s="497"/>
      <c r="AI36" s="453" t="s">
        <v>390</v>
      </c>
      <c r="AJ36" s="425">
        <f>PV(AF2,B3,-G3)*D13+PV(AF2,B4,-G4)*D14</f>
        <v>91267823.9944648</v>
      </c>
      <c r="AK36" s="424" t="s">
        <v>346</v>
      </c>
      <c r="AL36" s="449" t="s">
        <v>346</v>
      </c>
      <c r="AM36" s="445">
        <f>AJ36</f>
        <v>91267823.9944648</v>
      </c>
      <c r="AN36" s="424" t="s">
        <v>346</v>
      </c>
      <c r="AO36" s="443"/>
      <c r="AP36" s="426"/>
      <c r="AQ36" s="452"/>
    </row>
    <row r="37" spans="10:43" s="479" customFormat="1" ht="15" thickBot="1" x14ac:dyDescent="0.4">
      <c r="J37" s="497"/>
      <c r="AG37" s="497"/>
      <c r="AI37" s="434" t="s">
        <v>354</v>
      </c>
      <c r="AJ37" s="454">
        <f>SUM(AJ32:AJ36)</f>
        <v>-227009476.1200822</v>
      </c>
      <c r="AK37" s="455" t="s">
        <v>346</v>
      </c>
      <c r="AL37" s="456">
        <f>AL32</f>
        <v>68353778.000781313</v>
      </c>
      <c r="AM37" s="456">
        <f>SUM(AM34:AM36)</f>
        <v>-152002176.00553519</v>
      </c>
      <c r="AN37" s="455" t="s">
        <v>346</v>
      </c>
      <c r="AO37" s="443"/>
      <c r="AP37" s="426" t="s">
        <v>391</v>
      </c>
      <c r="AQ37" s="452">
        <f>AQ27*AB2/2000+AQ28*AD2/2000</f>
        <v>74918.496329487112</v>
      </c>
    </row>
    <row r="38" spans="10:43" s="479" customFormat="1" x14ac:dyDescent="0.35">
      <c r="J38" s="497"/>
      <c r="AG38" s="497"/>
      <c r="AI38" s="421" t="s">
        <v>392</v>
      </c>
      <c r="AJ38" s="457"/>
      <c r="AK38" s="458"/>
      <c r="AL38" s="457"/>
      <c r="AM38" s="457"/>
      <c r="AN38" s="459"/>
      <c r="AO38" s="443"/>
      <c r="AP38" s="460" t="s">
        <v>393</v>
      </c>
      <c r="AQ38" s="461">
        <f>SUM(AQ35:AQ37)</f>
        <v>63306.670803962836</v>
      </c>
    </row>
    <row r="39" spans="10:43" s="479" customFormat="1" x14ac:dyDescent="0.35">
      <c r="J39" s="497"/>
      <c r="AG39" s="497"/>
      <c r="AI39" s="420" t="s">
        <v>394</v>
      </c>
      <c r="AJ39" s="445"/>
      <c r="AK39" s="445"/>
      <c r="AL39" s="445"/>
      <c r="AM39" s="445"/>
      <c r="AN39" s="445"/>
      <c r="AO39" s="443"/>
      <c r="AP39" s="443"/>
      <c r="AQ39" s="443"/>
    </row>
    <row r="40" spans="10:43" s="479" customFormat="1" x14ac:dyDescent="0.35">
      <c r="J40" s="497"/>
      <c r="AG40" s="497"/>
      <c r="AI40" s="515" t="s">
        <v>395</v>
      </c>
      <c r="AJ40" s="424" t="s">
        <v>346</v>
      </c>
      <c r="AK40" s="462">
        <f>D10</f>
        <v>5681556.6292189863</v>
      </c>
      <c r="AL40" s="429">
        <f>AK40</f>
        <v>5681556.6292189863</v>
      </c>
      <c r="AM40" s="429">
        <f>AL40</f>
        <v>5681556.6292189863</v>
      </c>
      <c r="AN40" s="429">
        <f>AM40</f>
        <v>5681556.6292189863</v>
      </c>
      <c r="AO40" s="443"/>
      <c r="AP40" s="420" t="s">
        <v>396</v>
      </c>
      <c r="AQ40" s="463"/>
    </row>
    <row r="41" spans="10:43" s="479" customFormat="1" x14ac:dyDescent="0.35">
      <c r="J41" s="497"/>
      <c r="AG41" s="497"/>
      <c r="AI41" s="428" t="s">
        <v>397</v>
      </c>
      <c r="AJ41" s="424" t="s">
        <v>346</v>
      </c>
      <c r="AK41" s="425">
        <f>C7*-1</f>
        <v>0</v>
      </c>
      <c r="AL41" s="429">
        <f t="shared" ref="AL41:AL45" si="4">AK41</f>
        <v>0</v>
      </c>
      <c r="AM41" s="429">
        <f>AL41</f>
        <v>0</v>
      </c>
      <c r="AN41" s="429">
        <f t="shared" ref="AN41:AN45" si="5">AM41</f>
        <v>0</v>
      </c>
      <c r="AO41" s="443"/>
      <c r="AP41" s="422"/>
      <c r="AQ41" s="450"/>
    </row>
    <row r="42" spans="10:43" s="479" customFormat="1" x14ac:dyDescent="0.35">
      <c r="J42" s="497"/>
      <c r="AG42" s="497"/>
      <c r="AI42" s="428" t="s">
        <v>398</v>
      </c>
      <c r="AJ42" s="424" t="s">
        <v>346</v>
      </c>
      <c r="AK42" s="425">
        <f>D7*-1</f>
        <v>0</v>
      </c>
      <c r="AL42" s="429">
        <f t="shared" si="4"/>
        <v>0</v>
      </c>
      <c r="AM42" s="429">
        <f>AL42</f>
        <v>0</v>
      </c>
      <c r="AN42" s="429">
        <f t="shared" si="5"/>
        <v>0</v>
      </c>
      <c r="AO42" s="443"/>
      <c r="AP42" s="426"/>
      <c r="AQ42" s="452"/>
    </row>
    <row r="43" spans="10:43" s="479" customFormat="1" x14ac:dyDescent="0.35">
      <c r="J43" s="497"/>
      <c r="AG43" s="497"/>
      <c r="AI43" s="428" t="s">
        <v>399</v>
      </c>
      <c r="AJ43" s="424" t="s">
        <v>346</v>
      </c>
      <c r="AK43" s="425">
        <f>E7*-1</f>
        <v>0</v>
      </c>
      <c r="AL43" s="429">
        <f t="shared" si="4"/>
        <v>0</v>
      </c>
      <c r="AM43" s="429">
        <f>AL43</f>
        <v>0</v>
      </c>
      <c r="AN43" s="429">
        <f t="shared" si="5"/>
        <v>0</v>
      </c>
      <c r="AO43" s="443"/>
      <c r="AP43" s="426" t="s">
        <v>389</v>
      </c>
      <c r="AQ43" s="452" cm="1">
        <f t="array" ref="AQ43">INDEX($AA$2:$AA$21,$B$3)*$AQ$26/2000</f>
        <v>-86392.400849929138</v>
      </c>
    </row>
    <row r="44" spans="10:43" s="479" customFormat="1" x14ac:dyDescent="0.35">
      <c r="J44" s="497"/>
      <c r="AG44" s="497"/>
      <c r="AI44" s="428" t="s">
        <v>326</v>
      </c>
      <c r="AJ44" s="424" t="s">
        <v>346</v>
      </c>
      <c r="AK44" s="425">
        <f>-H3*C15</f>
        <v>0</v>
      </c>
      <c r="AL44" s="429">
        <f t="shared" si="4"/>
        <v>0</v>
      </c>
      <c r="AM44" s="429">
        <f>AL44</f>
        <v>0</v>
      </c>
      <c r="AN44" s="429">
        <f t="shared" si="5"/>
        <v>0</v>
      </c>
      <c r="AO44" s="443"/>
      <c r="AP44" s="426"/>
      <c r="AQ44" s="452"/>
    </row>
    <row r="45" spans="10:43" s="479" customFormat="1" x14ac:dyDescent="0.35">
      <c r="J45" s="497"/>
      <c r="AG45" s="497"/>
      <c r="AI45" s="453" t="s">
        <v>400</v>
      </c>
      <c r="AJ45" s="449" t="s">
        <v>346</v>
      </c>
      <c r="AK45" s="464">
        <f>F7*-1</f>
        <v>0</v>
      </c>
      <c r="AL45" s="465">
        <f t="shared" si="4"/>
        <v>0</v>
      </c>
      <c r="AM45" s="465">
        <f>AL45</f>
        <v>0</v>
      </c>
      <c r="AN45" s="465">
        <f t="shared" si="5"/>
        <v>0</v>
      </c>
      <c r="AO45" s="443"/>
      <c r="AP45" s="426" t="s">
        <v>391</v>
      </c>
      <c r="AQ45" s="452">
        <f>AQ27*AB2*B3/2000+AQ28*AD2*B4/2000</f>
        <v>749184.96329487104</v>
      </c>
    </row>
    <row r="46" spans="10:43" s="479" customFormat="1" ht="15" thickBot="1" x14ac:dyDescent="0.4">
      <c r="J46" s="497"/>
      <c r="AG46" s="497"/>
      <c r="AI46" s="434" t="s">
        <v>354</v>
      </c>
      <c r="AJ46" s="436" t="s">
        <v>346</v>
      </c>
      <c r="AK46" s="466">
        <f>SUM(AK40:AK45)</f>
        <v>5681556.6292189863</v>
      </c>
      <c r="AL46" s="467">
        <f t="shared" ref="AL46:AN46" si="6">SUM(AL40:AL45)</f>
        <v>5681556.6292189863</v>
      </c>
      <c r="AM46" s="466">
        <f t="shared" si="6"/>
        <v>5681556.6292189863</v>
      </c>
      <c r="AN46" s="466">
        <f t="shared" si="6"/>
        <v>5681556.6292189863</v>
      </c>
      <c r="AO46" s="443"/>
      <c r="AP46" s="460" t="s">
        <v>393</v>
      </c>
      <c r="AQ46" s="461">
        <f>SUM(AQ43:AQ45)</f>
        <v>662792.56244494184</v>
      </c>
    </row>
    <row r="47" spans="10:43" s="479" customFormat="1" ht="15" thickBot="1" x14ac:dyDescent="0.4">
      <c r="J47" s="497"/>
      <c r="AG47" s="497"/>
      <c r="AI47" s="468"/>
      <c r="AJ47" s="458"/>
      <c r="AK47" s="458"/>
      <c r="AL47" s="457"/>
      <c r="AM47" s="457"/>
      <c r="AN47" s="459"/>
      <c r="AO47" s="443"/>
    </row>
    <row r="48" spans="10:43" s="479" customFormat="1" ht="15" thickBot="1" x14ac:dyDescent="0.4">
      <c r="J48" s="497"/>
      <c r="AG48" s="497"/>
      <c r="AI48" s="469" t="s">
        <v>265</v>
      </c>
      <c r="AJ48" s="470">
        <f>SUMIF(AJ10:AJ13,"&gt;0")+SUMIF(AJ16:AJ19,"&gt;0")+SUMIF(AJ22:AJ29,"&gt;0")+SUMIF(AJ32:AJ36,"&gt;0")+SUMIF(AJ40:AJ45,"&gt;0")</f>
        <v>334472578.60246736</v>
      </c>
      <c r="AK48" s="470">
        <f>SUMIF(AK10:AK13,"&gt;0")+SUMIF(AK16:AK19,"&gt;0")+SUMIF(AK22:AK29,"&gt;0")+SUMIF(AK32:AK36,"&gt;0")+SUMIF(AK40:AK45,"&gt;0")</f>
        <v>5681556.6292189863</v>
      </c>
      <c r="AL48" s="470">
        <f>SUMIF(AL10:AL13,"&gt;0")+SUMIF(AL16:AL19,"&gt;0")+SUMIF(AL22:AL29,"&gt;0")+SUMIF(AL32:AL36,"&gt;0")+SUMIF(AL40:AL45,"&gt;0")</f>
        <v>74035334.630000293</v>
      </c>
      <c r="AM48" s="470">
        <f>SUMIF(AM10:AM13,"&gt;0")+SUMIF(AM16:AM19,"&gt;0")+SUMIF(AM22:AM29,"&gt;0")+SUMIF(AM32:AM36,"&gt;0")+SUMIF(AM40:AM45,"&gt;0")</f>
        <v>373167679.89341736</v>
      </c>
      <c r="AN48" s="471">
        <f>SUMIF(AN10:AN13,"&gt;0")+SUMIF(AN16:AN19,"&gt;0")+SUMIF(AN22:AN29,"&gt;0")+SUMIF(AN32:AN36,"&gt;0")+SUMIF(AN40:AN45,"&gt;0")</f>
        <v>281899855.89895254</v>
      </c>
      <c r="AO48" s="443"/>
    </row>
    <row r="49" spans="10:41" s="479" customFormat="1" ht="15" thickBot="1" x14ac:dyDescent="0.4">
      <c r="J49" s="497"/>
      <c r="AG49" s="497"/>
      <c r="AI49" s="469" t="s">
        <v>281</v>
      </c>
      <c r="AJ49" s="470">
        <f>SUMIF(AJ10:AJ13,"&lt;0")+SUMIF(AJ16:AJ19,"&lt;0")+SUMIF(AJ22:AJ29,"&lt;0")+SUMIF(AJ32:AJ36,"&lt;0")+SUMIF(AJ40:AJ45,"&lt;0")</f>
        <v>-318277300.11454701</v>
      </c>
      <c r="AK49" s="470">
        <f>SUMIF(AK10:AK13,"&lt;0")+SUMIF(AK16:AK19,"&lt;0")+SUMIF(AK22:AK29,"&lt;0")+SUMIF(AK32:AK36,"&lt;0")+SUMIF(AK40:AK45,"&lt;0")</f>
        <v>-29447510.273408465</v>
      </c>
      <c r="AL49" s="470">
        <f>SUMIF(AL10:AL13,"&lt;0")+SUMIF(AL16:AL19,"&lt;0")+SUMIF(AL22:AL29,"&lt;0")+SUMIF(AL32:AL36,"&lt;0")+SUMIF(AL40:AL45,"&lt;0")</f>
        <v>-29447510.273408465</v>
      </c>
      <c r="AM49" s="470">
        <f>SUMIF(AM10:AM13,"&lt;0")+SUMIF(AM16:AM19,"&lt;0")+SUMIF(AM22:AM29,"&lt;0")+SUMIF(AM32:AM36,"&lt;0")+SUMIF(AM40:AM45,"&lt;0")</f>
        <v>-279240298.02970749</v>
      </c>
      <c r="AN49" s="471">
        <f>SUMIF(AN10:AN13,"&lt;0")+SUMIF(AN16:AN19,"&lt;0")+SUMIF(AN22:AN29,"&lt;0")+SUMIF(AN32:AN36,"&lt;0")+SUMIF(AN40:AN45,"&lt;0")</f>
        <v>-35970298.029707476</v>
      </c>
      <c r="AO49" s="443"/>
    </row>
    <row r="50" spans="10:41" s="479" customFormat="1" ht="15" thickBot="1" x14ac:dyDescent="0.4">
      <c r="J50" s="497"/>
      <c r="AG50" s="497"/>
      <c r="AI50" s="472" t="s">
        <v>402</v>
      </c>
      <c r="AJ50" s="473">
        <f>AJ48+AJ49</f>
        <v>16195278.487920344</v>
      </c>
      <c r="AK50" s="473">
        <f t="shared" ref="AK50:AN50" si="7">AK48+AK49</f>
        <v>-23765953.644189477</v>
      </c>
      <c r="AL50" s="473">
        <f t="shared" si="7"/>
        <v>44587824.356591828</v>
      </c>
      <c r="AM50" s="473">
        <f t="shared" si="7"/>
        <v>93927381.863709867</v>
      </c>
      <c r="AN50" s="474">
        <f t="shared" si="7"/>
        <v>245929557.86924505</v>
      </c>
      <c r="AO50" s="443"/>
    </row>
    <row r="51" spans="10:41" s="479" customFormat="1" ht="15" thickBot="1" x14ac:dyDescent="0.4">
      <c r="J51" s="497"/>
      <c r="AG51" s="497"/>
      <c r="AI51" s="472" t="s">
        <v>403</v>
      </c>
      <c r="AJ51" s="475">
        <f>ABS(AJ48/AJ49)</f>
        <v>1.0508841770433885</v>
      </c>
      <c r="AK51" s="475">
        <f t="shared" ref="AK51:AN51" si="8">ABS(AK48/AK49)</f>
        <v>0.19293843779891692</v>
      </c>
      <c r="AL51" s="475">
        <f t="shared" si="8"/>
        <v>2.5141458120775422</v>
      </c>
      <c r="AM51" s="475">
        <f t="shared" si="8"/>
        <v>1.3363675749039532</v>
      </c>
      <c r="AN51" s="476">
        <f t="shared" si="8"/>
        <v>7.837017521126306</v>
      </c>
    </row>
    <row r="52" spans="10:41" s="479" customFormat="1" x14ac:dyDescent="0.35">
      <c r="J52" s="497"/>
      <c r="AG52" s="497"/>
      <c r="AI52" s="529" t="s">
        <v>404</v>
      </c>
      <c r="AJ52" s="529"/>
      <c r="AK52" s="529"/>
      <c r="AL52" s="529"/>
      <c r="AM52" s="529"/>
      <c r="AN52" s="529"/>
    </row>
  </sheetData>
  <mergeCells count="8">
    <mergeCell ref="AI2:AK2"/>
    <mergeCell ref="AL2:AO2"/>
    <mergeCell ref="AI3:AQ3"/>
    <mergeCell ref="B5:F5"/>
    <mergeCell ref="AI52:AN52"/>
    <mergeCell ref="D18:G18"/>
    <mergeCell ref="D19:G19"/>
    <mergeCell ref="D20:G20"/>
  </mergeCells>
  <pageMargins left="0.25" right="0.25" top="0.75" bottom="0.75" header="0.3" footer="0.3"/>
  <pageSetup scale="61" orientation="landscape" r:id="rId1"/>
  <headerFooter>
    <oddHeader>&amp;L&amp;"Garamond,Regular"&amp;12Northern States Power Company
TEP Cost-Benefit Analysis&amp;R&amp;"Garamond,Regular"&amp;12Docket No. E002/M-23-452
2023 Integrated Distribution Plan
Appendix H12 - Page &amp;P of &amp;N</oddHead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D7261-0C28-434D-BE97-16DE113E0A7C}">
  <sheetPr>
    <tabColor theme="9" tint="0.79998168889431442"/>
    <pageSetUpPr fitToPage="1"/>
  </sheetPr>
  <dimension ref="A1:AQ52"/>
  <sheetViews>
    <sheetView view="pageLayout" zoomScaleNormal="80" workbookViewId="0">
      <selection activeCell="A2" sqref="A2:XFD2"/>
    </sheetView>
  </sheetViews>
  <sheetFormatPr defaultRowHeight="14.5" x14ac:dyDescent="0.35"/>
  <cols>
    <col min="1" max="1" width="0.54296875" customWidth="1"/>
    <col min="2" max="2" width="27.7265625" hidden="1" customWidth="1"/>
    <col min="3" max="3" width="14.453125" hidden="1" customWidth="1"/>
    <col min="4" max="4" width="13.54296875" hidden="1" customWidth="1"/>
    <col min="5" max="5" width="16.7265625" hidden="1" customWidth="1"/>
    <col min="6" max="6" width="12.26953125" hidden="1" customWidth="1"/>
    <col min="7" max="7" width="18.1796875" hidden="1" customWidth="1"/>
    <col min="8" max="8" width="16.1796875" hidden="1" customWidth="1"/>
    <col min="9" max="9" width="19.26953125" hidden="1" customWidth="1"/>
    <col min="10" max="10" width="12" style="342" hidden="1" customWidth="1"/>
    <col min="11" max="11" width="9.1796875" hidden="1" customWidth="1"/>
    <col min="12" max="12" width="8.81640625" hidden="1" customWidth="1"/>
    <col min="13" max="13" width="13.1796875" hidden="1" customWidth="1"/>
    <col min="14" max="16" width="18.7265625" hidden="1" customWidth="1"/>
    <col min="17" max="17" width="20.26953125" hidden="1" customWidth="1"/>
    <col min="18" max="18" width="10.54296875" hidden="1" customWidth="1"/>
    <col min="19" max="19" width="12.1796875" hidden="1" customWidth="1"/>
    <col min="20" max="20" width="17" hidden="1" customWidth="1"/>
    <col min="21" max="21" width="18.7265625" hidden="1" customWidth="1"/>
    <col min="22" max="22" width="19.54296875" hidden="1" customWidth="1"/>
    <col min="23" max="23" width="21.1796875" hidden="1" customWidth="1"/>
    <col min="24" max="24" width="30.26953125" hidden="1" customWidth="1"/>
    <col min="25" max="25" width="16" hidden="1" customWidth="1"/>
    <col min="26" max="26" width="21.7265625" hidden="1" customWidth="1"/>
    <col min="27" max="27" width="19.54296875" hidden="1" customWidth="1"/>
    <col min="28" max="28" width="22" hidden="1" customWidth="1"/>
    <col min="29" max="31" width="29.7265625" hidden="1" customWidth="1"/>
    <col min="32" max="32" width="19.453125" hidden="1" customWidth="1"/>
    <col min="33" max="33" width="8.81640625" style="342" hidden="1" customWidth="1"/>
    <col min="34" max="34" width="8.81640625" hidden="1" customWidth="1"/>
    <col min="35" max="35" width="68.26953125" bestFit="1" customWidth="1"/>
    <col min="36" max="38" width="14" bestFit="1" customWidth="1"/>
    <col min="39" max="39" width="15" bestFit="1" customWidth="1"/>
    <col min="40" max="40" width="14" bestFit="1" customWidth="1"/>
    <col min="42" max="42" width="45" bestFit="1" customWidth="1"/>
    <col min="43" max="43" width="24.1796875" bestFit="1" customWidth="1"/>
  </cols>
  <sheetData>
    <row r="1" spans="1:43" ht="31.5" customHeight="1" x14ac:dyDescent="0.35">
      <c r="B1" s="344" t="s">
        <v>298</v>
      </c>
      <c r="C1" s="316"/>
      <c r="D1" s="316"/>
      <c r="E1" s="316"/>
      <c r="F1" s="316"/>
      <c r="G1" s="316"/>
      <c r="J1" s="341"/>
      <c r="K1" s="349" t="s">
        <v>401</v>
      </c>
      <c r="L1" s="350"/>
      <c r="M1" t="s">
        <v>300</v>
      </c>
      <c r="N1" t="s">
        <v>301</v>
      </c>
      <c r="O1" t="s">
        <v>302</v>
      </c>
      <c r="P1" t="s">
        <v>303</v>
      </c>
      <c r="Q1" t="s">
        <v>304</v>
      </c>
      <c r="R1" t="s">
        <v>305</v>
      </c>
      <c r="S1" t="s">
        <v>306</v>
      </c>
      <c r="T1" t="s">
        <v>307</v>
      </c>
      <c r="U1" t="s">
        <v>308</v>
      </c>
      <c r="V1" t="s">
        <v>309</v>
      </c>
      <c r="W1" t="s">
        <v>310</v>
      </c>
      <c r="X1" t="s">
        <v>311</v>
      </c>
      <c r="Y1" t="s">
        <v>312</v>
      </c>
      <c r="Z1" t="s">
        <v>313</v>
      </c>
      <c r="AA1" t="s">
        <v>314</v>
      </c>
      <c r="AB1" t="s">
        <v>315</v>
      </c>
      <c r="AC1" t="s">
        <v>316</v>
      </c>
      <c r="AD1" t="s">
        <v>317</v>
      </c>
      <c r="AE1" t="s">
        <v>318</v>
      </c>
      <c r="AF1" t="s">
        <v>319</v>
      </c>
    </row>
    <row r="2" spans="1:43" s="519" customFormat="1" ht="27.65" customHeight="1" x14ac:dyDescent="0.4">
      <c r="B2" s="520" t="s">
        <v>320</v>
      </c>
      <c r="C2" s="520" t="s">
        <v>321</v>
      </c>
      <c r="D2" s="520" t="s">
        <v>322</v>
      </c>
      <c r="E2" s="520" t="s">
        <v>323</v>
      </c>
      <c r="F2" s="520" t="s">
        <v>324</v>
      </c>
      <c r="G2" s="520" t="s">
        <v>325</v>
      </c>
      <c r="H2" s="520" t="s">
        <v>326</v>
      </c>
      <c r="I2" s="520" t="s">
        <v>327</v>
      </c>
      <c r="J2" s="521"/>
      <c r="L2" s="519">
        <v>1</v>
      </c>
      <c r="M2" s="522">
        <v>3.5290793735399997</v>
      </c>
      <c r="N2" s="522">
        <v>0.46884845852660545</v>
      </c>
      <c r="O2" s="522">
        <v>4.3483299423975001</v>
      </c>
      <c r="P2" s="522">
        <v>0.53706282297747754</v>
      </c>
      <c r="Q2" s="522">
        <v>0.45121521102664958</v>
      </c>
      <c r="R2" s="522">
        <v>11.901883951230612</v>
      </c>
      <c r="S2" s="522">
        <v>11.901883951230612</v>
      </c>
      <c r="T2" s="522">
        <v>107.57087413075</v>
      </c>
      <c r="U2" s="522">
        <v>107.57087413075</v>
      </c>
      <c r="V2" s="522">
        <v>4.60217848200506E-2</v>
      </c>
      <c r="W2" s="522">
        <v>4.60217848200506E-2</v>
      </c>
      <c r="X2" s="522">
        <v>9.0139041734268316E-3</v>
      </c>
      <c r="Y2" s="522">
        <v>0.15350018139191424</v>
      </c>
      <c r="Z2" s="522">
        <v>0.15350018139191424</v>
      </c>
      <c r="AA2" s="523">
        <v>0.37667798468143887</v>
      </c>
      <c r="AB2" s="523">
        <v>19.592497222173233</v>
      </c>
      <c r="AC2" s="522">
        <v>120286</v>
      </c>
      <c r="AD2" s="523">
        <v>22.44</v>
      </c>
      <c r="AE2" s="522"/>
      <c r="AF2" s="524">
        <v>3.3000000000000002E-2</v>
      </c>
      <c r="AG2" s="525"/>
      <c r="AI2" s="540" t="s">
        <v>328</v>
      </c>
      <c r="AJ2" s="541"/>
      <c r="AK2" s="542"/>
      <c r="AL2" s="543" t="s">
        <v>329</v>
      </c>
      <c r="AM2" s="544"/>
      <c r="AN2" s="544"/>
      <c r="AO2" s="545"/>
      <c r="AP2" s="526">
        <v>2026</v>
      </c>
      <c r="AQ2" s="527" t="s">
        <v>330</v>
      </c>
    </row>
    <row r="3" spans="1:43" s="479" customFormat="1" x14ac:dyDescent="0.35">
      <c r="A3" s="479" t="s">
        <v>331</v>
      </c>
      <c r="B3" s="493">
        <f>'MN TEP CBA (2024)'!B3</f>
        <v>10</v>
      </c>
      <c r="C3" s="494">
        <f>'MN TEP CBA (2024)'!C3</f>
        <v>-3801.8922750851671</v>
      </c>
      <c r="D3" s="495">
        <f>'MN TEP CBA (2024)'!D3</f>
        <v>-0.53402916391465605</v>
      </c>
      <c r="E3" s="516">
        <f>'MN TEP CBA (2024)'!E3</f>
        <v>534.42851239669426</v>
      </c>
      <c r="F3" s="493">
        <f>'MN TEP CBA (2024)'!F3</f>
        <v>0</v>
      </c>
      <c r="G3" s="496">
        <f>'MN TEP CBA (2024)'!G3</f>
        <v>759.17707900000016</v>
      </c>
      <c r="H3" s="496">
        <f>'MN TEP CBA (2024)'!H3</f>
        <v>0</v>
      </c>
      <c r="I3" s="496">
        <f>'MN TEP CBA (2024)'!I3</f>
        <v>17000</v>
      </c>
      <c r="J3" s="497"/>
      <c r="L3" s="479">
        <v>2</v>
      </c>
      <c r="M3" s="480">
        <v>7.0017891346275212</v>
      </c>
      <c r="N3" s="480">
        <v>0.93134898588642567</v>
      </c>
      <c r="O3" s="480">
        <v>8.6272044694517689</v>
      </c>
      <c r="P3" s="480">
        <v>1.0668541325896042</v>
      </c>
      <c r="Q3" s="480">
        <v>0.89655096589269756</v>
      </c>
      <c r="R3" s="480">
        <v>23.462681457853932</v>
      </c>
      <c r="S3" s="480">
        <v>23.695464215005693</v>
      </c>
      <c r="T3" s="480">
        <v>211.33420071445408</v>
      </c>
      <c r="U3" s="480">
        <v>213.42353003966323</v>
      </c>
      <c r="V3" s="480">
        <v>8.9296904352418743E-2</v>
      </c>
      <c r="W3" s="480">
        <v>9.0248206916647505E-2</v>
      </c>
      <c r="X3" s="480">
        <v>1.764665772089961E-2</v>
      </c>
      <c r="Y3" s="480">
        <v>0.30215143484307871</v>
      </c>
      <c r="Z3" s="480">
        <v>0.30541918592296058</v>
      </c>
      <c r="AA3" s="481">
        <v>0.74237962152947579</v>
      </c>
      <c r="AB3" s="480"/>
      <c r="AC3" s="480"/>
      <c r="AD3" s="480"/>
      <c r="AE3" s="480"/>
      <c r="AF3" s="480"/>
      <c r="AG3" s="497"/>
      <c r="AI3" s="538" t="s">
        <v>407</v>
      </c>
      <c r="AJ3" s="538"/>
      <c r="AK3" s="538"/>
      <c r="AL3" s="538"/>
      <c r="AM3" s="538"/>
      <c r="AN3" s="538"/>
      <c r="AO3" s="538"/>
      <c r="AP3" s="538"/>
      <c r="AQ3" s="538"/>
    </row>
    <row r="4" spans="1:43" s="479" customFormat="1" x14ac:dyDescent="0.35">
      <c r="A4" s="479" t="s">
        <v>333</v>
      </c>
      <c r="B4" s="493">
        <f>'MN TEP CBA (2024)'!B4</f>
        <v>10</v>
      </c>
      <c r="C4" s="494">
        <f>'MN TEP CBA (2024)'!C4</f>
        <v>-7500</v>
      </c>
      <c r="D4" s="495">
        <f>'MN TEP CBA (2024)'!D4</f>
        <v>-1.0534803302048317</v>
      </c>
      <c r="E4" s="493">
        <f>'MN TEP CBA (2024)'!E4</f>
        <v>0</v>
      </c>
      <c r="F4" s="493">
        <f>'MN TEP CBA (2024)'!F4</f>
        <v>2500</v>
      </c>
      <c r="G4" s="496">
        <f>'MN TEP CBA (2024)'!G4</f>
        <v>5834.9999999999982</v>
      </c>
      <c r="H4" s="496">
        <f>'MN TEP CBA (2024)'!H4</f>
        <v>0</v>
      </c>
      <c r="I4" s="496">
        <f>'MN TEP CBA (2024)'!I4</f>
        <v>250000</v>
      </c>
      <c r="J4" s="497"/>
      <c r="L4" s="479">
        <v>3</v>
      </c>
      <c r="M4" s="480">
        <v>10.419029669134265</v>
      </c>
      <c r="N4" s="480">
        <v>1.3873368824092762</v>
      </c>
      <c r="O4" s="480">
        <v>12.837732985183294</v>
      </c>
      <c r="P4" s="480">
        <v>1.5891852664483439</v>
      </c>
      <c r="Q4" s="480">
        <v>1.3359224321214804</v>
      </c>
      <c r="R4" s="480">
        <v>34.692167439804614</v>
      </c>
      <c r="S4" s="480">
        <v>35.381726323427934</v>
      </c>
      <c r="T4" s="480">
        <v>311.42475060279645</v>
      </c>
      <c r="U4" s="480">
        <v>317.58541264509432</v>
      </c>
      <c r="V4" s="480">
        <v>0.12927266299676177</v>
      </c>
      <c r="W4" s="480">
        <v>0.13200083097514168</v>
      </c>
      <c r="X4" s="480">
        <v>2.5644512170036701E-2</v>
      </c>
      <c r="Y4" s="480">
        <v>0.44511581819278612</v>
      </c>
      <c r="Z4" s="480">
        <v>0.45473813205882013</v>
      </c>
      <c r="AA4" s="481">
        <v>1.0860245784964677</v>
      </c>
      <c r="AB4" s="480"/>
      <c r="AC4" s="480"/>
      <c r="AD4" s="480"/>
      <c r="AE4" s="480"/>
      <c r="AF4" s="480"/>
      <c r="AG4" s="497"/>
      <c r="AI4" s="418"/>
      <c r="AJ4" s="314"/>
      <c r="AK4" s="315"/>
      <c r="AL4" s="315" t="s">
        <v>334</v>
      </c>
      <c r="AM4" s="315"/>
      <c r="AN4" s="315"/>
      <c r="AO4" s="419"/>
      <c r="AP4" s="419"/>
      <c r="AQ4" s="419"/>
    </row>
    <row r="5" spans="1:43" s="479" customFormat="1" x14ac:dyDescent="0.35">
      <c r="B5" s="530"/>
      <c r="C5" s="530"/>
      <c r="D5" s="530"/>
      <c r="E5" s="530"/>
      <c r="F5" s="530"/>
      <c r="J5" s="497"/>
      <c r="L5" s="479">
        <v>4</v>
      </c>
      <c r="M5" s="480">
        <v>13.781686981163407</v>
      </c>
      <c r="N5" s="480">
        <v>1.8367562531050563</v>
      </c>
      <c r="O5" s="480">
        <v>16.981007173219204</v>
      </c>
      <c r="P5" s="480">
        <v>2.1039921972104731</v>
      </c>
      <c r="Q5" s="480">
        <v>1.7693450682463212</v>
      </c>
      <c r="R5" s="480">
        <v>45.599836685510361</v>
      </c>
      <c r="S5" s="480">
        <v>46.961646840544105</v>
      </c>
      <c r="T5" s="480">
        <v>407.97252433737606</v>
      </c>
      <c r="U5" s="480">
        <v>420.08352849061293</v>
      </c>
      <c r="V5" s="480">
        <v>0.16690592033929946</v>
      </c>
      <c r="W5" s="480">
        <v>0.17217088366380828</v>
      </c>
      <c r="X5" s="480">
        <v>3.304566335783865E-2</v>
      </c>
      <c r="Y5" s="480">
        <v>0.58185340264530905</v>
      </c>
      <c r="Z5" s="480">
        <v>0.60069296987644016</v>
      </c>
      <c r="AA5" s="481">
        <v>1.4086787486168997</v>
      </c>
      <c r="AB5" s="480"/>
      <c r="AC5" s="480"/>
      <c r="AD5" s="480"/>
      <c r="AE5" s="480"/>
      <c r="AF5" s="480"/>
      <c r="AG5" s="497"/>
      <c r="AI5" s="418"/>
      <c r="AJ5" s="315" t="s">
        <v>335</v>
      </c>
      <c r="AK5" s="315" t="s">
        <v>336</v>
      </c>
      <c r="AL5" s="315" t="s">
        <v>337</v>
      </c>
      <c r="AM5" s="315" t="s">
        <v>338</v>
      </c>
      <c r="AN5" s="315" t="s">
        <v>339</v>
      </c>
      <c r="AO5" s="419"/>
    </row>
    <row r="6" spans="1:43" s="479" customFormat="1" x14ac:dyDescent="0.35">
      <c r="B6" s="498"/>
      <c r="C6" s="498"/>
      <c r="D6" s="498"/>
      <c r="E6" s="498"/>
      <c r="F6" s="498"/>
      <c r="J6" s="497"/>
      <c r="L6" s="479">
        <v>5</v>
      </c>
      <c r="M6" s="480">
        <v>17.090632922768076</v>
      </c>
      <c r="N6" s="480">
        <v>2.2795614205602837</v>
      </c>
      <c r="O6" s="480">
        <v>21.058101279839246</v>
      </c>
      <c r="P6" s="480">
        <v>2.6112226016995259</v>
      </c>
      <c r="Q6" s="480">
        <v>2.1966645294373288</v>
      </c>
      <c r="R6" s="480">
        <v>56.194911879953715</v>
      </c>
      <c r="S6" s="480">
        <v>58.436193443951765</v>
      </c>
      <c r="T6" s="480">
        <v>501.10292099822271</v>
      </c>
      <c r="U6" s="480">
        <v>520.94445274711791</v>
      </c>
      <c r="V6" s="480">
        <v>0.19926854389219362</v>
      </c>
      <c r="W6" s="480">
        <v>0.20747439011408197</v>
      </c>
      <c r="X6" s="480">
        <v>3.7918871207799576E-2</v>
      </c>
      <c r="Y6" s="480">
        <v>0.71266347764928184</v>
      </c>
      <c r="Z6" s="480">
        <v>0.74339012541192062</v>
      </c>
      <c r="AA6" s="481">
        <v>1.6243002415008692</v>
      </c>
      <c r="AB6" s="480"/>
      <c r="AC6" s="480"/>
      <c r="AD6" s="480"/>
      <c r="AE6" s="480"/>
      <c r="AF6" s="480"/>
      <c r="AG6" s="497"/>
      <c r="AI6" s="418"/>
      <c r="AJ6" s="315" t="s">
        <v>340</v>
      </c>
      <c r="AK6" s="315" t="s">
        <v>340</v>
      </c>
      <c r="AL6" s="315" t="s">
        <v>340</v>
      </c>
      <c r="AM6" s="315" t="s">
        <v>340</v>
      </c>
      <c r="AN6" s="315" t="s">
        <v>340</v>
      </c>
      <c r="AO6" s="419"/>
    </row>
    <row r="7" spans="1:43" s="479" customFormat="1" ht="15" thickBot="1" x14ac:dyDescent="0.4">
      <c r="B7" s="480"/>
      <c r="C7" s="480"/>
      <c r="D7" s="480"/>
      <c r="E7" s="480"/>
      <c r="F7" s="480"/>
      <c r="J7" s="497"/>
      <c r="L7" s="479">
        <v>6</v>
      </c>
      <c r="M7" s="480">
        <v>20.346725420000553</v>
      </c>
      <c r="N7" s="480">
        <v>2.7157163291637083</v>
      </c>
      <c r="O7" s="480">
        <v>25.070072392500691</v>
      </c>
      <c r="P7" s="480">
        <v>3.1108351784501576</v>
      </c>
      <c r="Q7" s="480">
        <v>2.6178284348808116</v>
      </c>
      <c r="R7" s="480">
        <v>66.486351402664113</v>
      </c>
      <c r="S7" s="480">
        <v>69.806325005663368</v>
      </c>
      <c r="T7" s="480">
        <v>590.93690107579971</v>
      </c>
      <c r="U7" s="480">
        <v>620.19433610310762</v>
      </c>
      <c r="V7" s="480">
        <v>0.2300352761512377</v>
      </c>
      <c r="W7" s="480">
        <v>0.24177477742767348</v>
      </c>
      <c r="X7" s="480">
        <v>4.2499824523502261E-2</v>
      </c>
      <c r="Y7" s="480">
        <v>0.83865001269515416</v>
      </c>
      <c r="Z7" s="480">
        <v>0.88384660652230862</v>
      </c>
      <c r="AA7" s="481">
        <v>1.8300810623569237</v>
      </c>
      <c r="AB7" s="480"/>
      <c r="AC7" s="480"/>
      <c r="AD7" s="480"/>
      <c r="AE7" s="480"/>
      <c r="AF7" s="480"/>
      <c r="AG7" s="497"/>
      <c r="AI7" s="418"/>
      <c r="AJ7" s="315" t="s">
        <v>341</v>
      </c>
      <c r="AK7" s="315" t="s">
        <v>341</v>
      </c>
      <c r="AL7" s="315" t="s">
        <v>341</v>
      </c>
      <c r="AM7" s="315" t="s">
        <v>341</v>
      </c>
      <c r="AN7" s="315" t="s">
        <v>341</v>
      </c>
      <c r="AO7" s="419"/>
      <c r="AP7" s="420"/>
      <c r="AQ7" s="419"/>
    </row>
    <row r="8" spans="1:43" s="479" customFormat="1" x14ac:dyDescent="0.35">
      <c r="B8" s="499" t="s">
        <v>342</v>
      </c>
      <c r="C8" s="499">
        <v>2024</v>
      </c>
      <c r="D8" s="499">
        <v>2025</v>
      </c>
      <c r="E8" s="499">
        <v>2026</v>
      </c>
      <c r="F8" s="499">
        <v>2027</v>
      </c>
      <c r="G8" s="499" t="s">
        <v>27</v>
      </c>
      <c r="J8" s="497"/>
      <c r="L8" s="479">
        <v>7</v>
      </c>
      <c r="M8" s="480">
        <v>23.550808695350806</v>
      </c>
      <c r="N8" s="480">
        <v>3.1451939769695123</v>
      </c>
      <c r="O8" s="480">
        <v>29.017960713914398</v>
      </c>
      <c r="P8" s="480">
        <v>3.6027989969111776</v>
      </c>
      <c r="Q8" s="480">
        <v>3.0327939789499827</v>
      </c>
      <c r="R8" s="480">
        <v>76.482856902233635</v>
      </c>
      <c r="S8" s="480">
        <v>81.072991672234522</v>
      </c>
      <c r="T8" s="480">
        <v>677.59114357803639</v>
      </c>
      <c r="U8" s="480">
        <v>717.85891154489229</v>
      </c>
      <c r="V8" s="480">
        <v>0.25807618002906874</v>
      </c>
      <c r="W8" s="480">
        <v>0.27372347739780656</v>
      </c>
      <c r="X8" s="480">
        <v>4.6419397626611597E-2</v>
      </c>
      <c r="Y8" s="480">
        <v>0.96005852128926994</v>
      </c>
      <c r="Z8" s="480">
        <v>1.0221746729710266</v>
      </c>
      <c r="AA8" s="481">
        <v>2.0088894951755236</v>
      </c>
      <c r="AB8" s="480"/>
      <c r="AC8" s="480"/>
      <c r="AD8" s="480"/>
      <c r="AE8" s="480"/>
      <c r="AF8" s="480"/>
      <c r="AG8" s="497"/>
      <c r="AI8" s="421" t="s">
        <v>343</v>
      </c>
      <c r="AJ8" s="421"/>
      <c r="AK8" s="421"/>
      <c r="AL8" s="421"/>
      <c r="AM8" s="421"/>
      <c r="AN8" s="421"/>
      <c r="AP8" s="422"/>
      <c r="AQ8" s="423"/>
    </row>
    <row r="9" spans="1:43" s="479" customFormat="1" ht="17.5" customHeight="1" x14ac:dyDescent="0.35">
      <c r="B9" s="500" t="s">
        <v>344</v>
      </c>
      <c r="C9" s="501">
        <f>'MN TEP CBA (2024)'!C9</f>
        <v>9915209.7284542732</v>
      </c>
      <c r="D9" s="501">
        <f>'MN TEP CBA (2024)'!D9</f>
        <v>16078387.465972796</v>
      </c>
      <c r="E9" s="501">
        <f>'MN TEP CBA (2024)'!E9</f>
        <v>3248081.5672741234</v>
      </c>
      <c r="F9" s="501">
        <f>'MN TEP CBA (2024)'!F9</f>
        <v>4484372.319364286</v>
      </c>
      <c r="G9" s="501">
        <f>SUM(C9:F9)</f>
        <v>33726051.081065476</v>
      </c>
      <c r="J9" s="497"/>
      <c r="L9" s="479">
        <v>8</v>
      </c>
      <c r="M9" s="480">
        <v>26.703713486632058</v>
      </c>
      <c r="N9" s="480">
        <v>3.5679758740402971</v>
      </c>
      <c r="O9" s="480">
        <v>32.902789831743085</v>
      </c>
      <c r="P9" s="480">
        <v>4.0870928769810089</v>
      </c>
      <c r="Q9" s="480">
        <v>3.4415273728875313</v>
      </c>
      <c r="R9" s="480">
        <v>86.192880653760838</v>
      </c>
      <c r="S9" s="480">
        <v>92.237134944163103</v>
      </c>
      <c r="T9" s="480">
        <v>761.17819757644554</v>
      </c>
      <c r="U9" s="480">
        <v>813.96350102850715</v>
      </c>
      <c r="V9" s="480">
        <v>0.28786629123753188</v>
      </c>
      <c r="W9" s="480">
        <v>0.3084112838315054</v>
      </c>
      <c r="X9" s="480">
        <v>5.1834307976648529E-2</v>
      </c>
      <c r="Y9" s="480">
        <v>1.0770819516886103</v>
      </c>
      <c r="Z9" s="480">
        <v>1.1584375446835207</v>
      </c>
      <c r="AA9" s="481">
        <v>2.2598264835528976</v>
      </c>
      <c r="AB9" s="480"/>
      <c r="AC9" s="480"/>
      <c r="AD9" s="480"/>
      <c r="AE9" s="480"/>
      <c r="AF9" s="480"/>
      <c r="AG9" s="497"/>
      <c r="AI9" s="515" t="s">
        <v>345</v>
      </c>
      <c r="AJ9" s="424" t="s">
        <v>346</v>
      </c>
      <c r="AK9" s="425">
        <f>-E9</f>
        <v>-3248081.5672741234</v>
      </c>
      <c r="AL9" s="425">
        <f>AK9</f>
        <v>-3248081.5672741234</v>
      </c>
      <c r="AM9" s="425">
        <f>AL9</f>
        <v>-3248081.5672741234</v>
      </c>
      <c r="AN9" s="425">
        <f>AM9</f>
        <v>-3248081.5672741234</v>
      </c>
      <c r="AP9" s="426"/>
      <c r="AQ9" s="427"/>
    </row>
    <row r="10" spans="1:43" s="479" customFormat="1" x14ac:dyDescent="0.35">
      <c r="B10" s="500" t="s">
        <v>347</v>
      </c>
      <c r="C10" s="501">
        <f>'MN TEP CBA (2024)'!C10</f>
        <v>3796708.1989438348</v>
      </c>
      <c r="D10" s="501">
        <f>'MN TEP CBA (2024)'!D10</f>
        <v>5681556.6292189863</v>
      </c>
      <c r="E10" s="501">
        <f>'MN TEP CBA (2024)'!E10</f>
        <v>3574045.3521351111</v>
      </c>
      <c r="F10" s="501">
        <f>'MN TEP CBA (2024)'!F10</f>
        <v>4496479.5234320108</v>
      </c>
      <c r="G10" s="501">
        <f t="shared" ref="G10:G11" si="0">SUM(C10:F10)</f>
        <v>17548789.703729942</v>
      </c>
      <c r="J10" s="497"/>
      <c r="L10" s="479">
        <v>9</v>
      </c>
      <c r="M10" s="480">
        <v>29.806257262370096</v>
      </c>
      <c r="N10" s="480">
        <v>3.9840515261578222</v>
      </c>
      <c r="O10" s="480">
        <v>36.72556698399174</v>
      </c>
      <c r="P10" s="480">
        <v>4.5637047976017362</v>
      </c>
      <c r="Q10" s="480">
        <v>3.8440033123881765</v>
      </c>
      <c r="R10" s="480">
        <v>95.624632705443545</v>
      </c>
      <c r="S10" s="480">
        <v>103.29968775456591</v>
      </c>
      <c r="T10" s="480">
        <v>841.80662838815829</v>
      </c>
      <c r="U10" s="480">
        <v>908.53302204505553</v>
      </c>
      <c r="V10" s="480">
        <v>0.31608250240344238</v>
      </c>
      <c r="W10" s="480">
        <v>0.34198867420320489</v>
      </c>
      <c r="X10" s="480">
        <v>5.7550727265764039E-2</v>
      </c>
      <c r="Y10" s="480">
        <v>1.1899494475308194</v>
      </c>
      <c r="Z10" s="480">
        <v>1.2927502610821233</v>
      </c>
      <c r="AA10" s="481">
        <v>2.5290057264929242</v>
      </c>
      <c r="AB10" s="480"/>
      <c r="AC10" s="480"/>
      <c r="AD10" s="480"/>
      <c r="AE10" s="480"/>
      <c r="AF10" s="480"/>
      <c r="AG10" s="497"/>
      <c r="AI10" s="428" t="s">
        <v>348</v>
      </c>
      <c r="AJ10" s="424" t="s">
        <v>346</v>
      </c>
      <c r="AK10" s="425" cm="1">
        <f t="array" ref="AK10">INDEX($T$2:$T$21,$B$3)*$AQ$24</f>
        <v>-10226817.17995885</v>
      </c>
      <c r="AL10" s="429">
        <f>AK10</f>
        <v>-10226817.17995885</v>
      </c>
      <c r="AM10" s="425" cm="1">
        <f t="array" ref="AM10">INDEX($U$2:$U$21,$B$3)*$AQ$24</f>
        <v>-11138873.515149249</v>
      </c>
      <c r="AN10" s="429">
        <f>AM10</f>
        <v>-11138873.515149249</v>
      </c>
      <c r="AP10" s="426"/>
      <c r="AQ10" s="430"/>
    </row>
    <row r="11" spans="1:43" s="479" customFormat="1" x14ac:dyDescent="0.35">
      <c r="B11" s="500" t="s">
        <v>27</v>
      </c>
      <c r="C11" s="501">
        <f>'MN TEP CBA (2024)'!C11</f>
        <v>13711917.927398108</v>
      </c>
      <c r="D11" s="501">
        <f>'MN TEP CBA (2024)'!D11</f>
        <v>21759944.095191784</v>
      </c>
      <c r="E11" s="501">
        <f>'MN TEP CBA (2024)'!E11</f>
        <v>6822126.9194092341</v>
      </c>
      <c r="F11" s="501">
        <f>'MN TEP CBA (2024)'!F11</f>
        <v>8980851.8427962959</v>
      </c>
      <c r="G11" s="501">
        <f t="shared" si="0"/>
        <v>51274840.784795418</v>
      </c>
      <c r="J11" s="497"/>
      <c r="L11" s="479">
        <v>10</v>
      </c>
      <c r="M11" s="480">
        <v>32.859244433752202</v>
      </c>
      <c r="N11" s="480">
        <v>4.3934179428334899</v>
      </c>
      <c r="O11" s="480">
        <v>40.48728332015898</v>
      </c>
      <c r="P11" s="480">
        <v>5.0326313331883563</v>
      </c>
      <c r="Q11" s="480">
        <v>4.2402044699961969</v>
      </c>
      <c r="R11" s="480">
        <v>104.78608782036329</v>
      </c>
      <c r="S11" s="480">
        <v>114.2615745471393</v>
      </c>
      <c r="T11" s="480">
        <v>919.58115858374185</v>
      </c>
      <c r="U11" s="480">
        <v>1001.5919940811847</v>
      </c>
      <c r="V11" s="480">
        <v>0.34456085937512498</v>
      </c>
      <c r="W11" s="480">
        <v>0.37662299720329423</v>
      </c>
      <c r="X11" s="480">
        <v>6.3989652435008981E-2</v>
      </c>
      <c r="Y11" s="480">
        <v>1.298707647650261</v>
      </c>
      <c r="Z11" s="480">
        <v>1.4250179560053442</v>
      </c>
      <c r="AA11" s="481">
        <v>2.8371761536536906</v>
      </c>
      <c r="AB11" s="480"/>
      <c r="AC11" s="480"/>
      <c r="AD11" s="480"/>
      <c r="AE11" s="480"/>
      <c r="AF11" s="480"/>
      <c r="AG11" s="497"/>
      <c r="AI11" s="428" t="s">
        <v>349</v>
      </c>
      <c r="AJ11" s="424" t="s">
        <v>346</v>
      </c>
      <c r="AK11" s="425" cm="1">
        <f t="array" ref="AK11">INDEX($R$2:$R$21,$B$3)*$AQ$24</f>
        <v>-1165343.7580130456</v>
      </c>
      <c r="AL11" s="429">
        <f t="shared" ref="AL11:AL13" si="1">AK11</f>
        <v>-1165343.7580130456</v>
      </c>
      <c r="AM11" s="425" cm="1">
        <f t="array" ref="AM11">INDEX($S$2:$S$21,$B$3)*$AQ$24</f>
        <v>-1270722.2442307365</v>
      </c>
      <c r="AN11" s="429">
        <f t="shared" ref="AN11:AN13" si="2">AM11</f>
        <v>-1270722.2442307365</v>
      </c>
      <c r="AP11" s="426"/>
      <c r="AQ11" s="430"/>
    </row>
    <row r="12" spans="1:43" s="479" customFormat="1" x14ac:dyDescent="0.35">
      <c r="J12" s="497"/>
      <c r="L12" s="479">
        <v>11</v>
      </c>
      <c r="M12" s="480">
        <v>35.863466563190649</v>
      </c>
      <c r="N12" s="480">
        <v>4.7960791685929198</v>
      </c>
      <c r="O12" s="480">
        <v>44.188914158217059</v>
      </c>
      <c r="P12" s="480">
        <v>5.4938771167183438</v>
      </c>
      <c r="Q12" s="480">
        <v>4.6301210112758131</v>
      </c>
      <c r="R12" s="480">
        <v>113.6849922193307</v>
      </c>
      <c r="S12" s="480">
        <v>125.12371135341049</v>
      </c>
      <c r="T12" s="480">
        <v>994.60280400394561</v>
      </c>
      <c r="U12" s="480">
        <v>1093.1645449763689</v>
      </c>
      <c r="V12" s="480">
        <v>0.37104961085286281</v>
      </c>
      <c r="W12" s="480">
        <v>0.40954579937727059</v>
      </c>
      <c r="X12" s="480">
        <v>6.9866232571273293E-2</v>
      </c>
      <c r="Y12" s="480">
        <v>1.4036214568486121</v>
      </c>
      <c r="Z12" s="480">
        <v>1.5554150639422182</v>
      </c>
      <c r="AA12" s="481">
        <v>3.1231159775800834</v>
      </c>
      <c r="AB12" s="480"/>
      <c r="AC12" s="480"/>
      <c r="AD12" s="480"/>
      <c r="AE12" s="480"/>
      <c r="AF12" s="480"/>
      <c r="AG12" s="497"/>
      <c r="AI12" s="428" t="s">
        <v>350</v>
      </c>
      <c r="AJ12" s="424" t="s">
        <v>346</v>
      </c>
      <c r="AK12" s="425" cm="1">
        <f t="array" ref="AK12">INDEX($V$2:$V$21,$B$3)*$AQ$26</f>
        <v>-26821478.626178354</v>
      </c>
      <c r="AL12" s="429">
        <f t="shared" si="1"/>
        <v>-26821478.626178354</v>
      </c>
      <c r="AM12" s="425" cm="1">
        <f t="array" ref="AM12">INDEX($W$2:$W$21,$B$3)*$AQ$26</f>
        <v>-29317275.583579104</v>
      </c>
      <c r="AN12" s="429">
        <f t="shared" si="2"/>
        <v>-29317275.583579104</v>
      </c>
      <c r="AP12" s="431"/>
      <c r="AQ12" s="432"/>
    </row>
    <row r="13" spans="1:43" s="479" customFormat="1" x14ac:dyDescent="0.35">
      <c r="B13" s="500" t="str">
        <f>'MN TEP CBA (2024)'!B13</f>
        <v>Incremental EVs</v>
      </c>
      <c r="C13" s="494">
        <f>'MN TEP CBA (2024)'!C13</f>
        <v>13099</v>
      </c>
      <c r="D13" s="494">
        <f>'MN TEP CBA (2024)'!D13</f>
        <v>14310</v>
      </c>
      <c r="E13" s="494">
        <f>'MN TEP CBA (2024)'!E13</f>
        <v>18832</v>
      </c>
      <c r="F13" s="494">
        <f>'MN TEP CBA (2024)'!F13</f>
        <v>24738</v>
      </c>
      <c r="G13" s="502">
        <f>'MN TEP CBA (2024)'!G13</f>
        <v>70979</v>
      </c>
      <c r="J13" s="497"/>
      <c r="L13" s="479">
        <v>12</v>
      </c>
      <c r="M13" s="480">
        <v>38.819702569554806</v>
      </c>
      <c r="N13" s="480">
        <v>5.1920458365496822</v>
      </c>
      <c r="O13" s="480">
        <v>47.831419237487189</v>
      </c>
      <c r="P13" s="480">
        <v>5.9474543283532988</v>
      </c>
      <c r="Q13" s="480">
        <v>5.0137501337535708</v>
      </c>
      <c r="R13" s="480">
        <v>122.32887013049317</v>
      </c>
      <c r="S13" s="480">
        <v>135.88700586928576</v>
      </c>
      <c r="T13" s="480">
        <v>1066.9690049620374</v>
      </c>
      <c r="U13" s="480">
        <v>1183.2744171786485</v>
      </c>
      <c r="V13" s="480">
        <v>0.39650574751870804</v>
      </c>
      <c r="W13" s="480">
        <v>0.44188068491835514</v>
      </c>
      <c r="X13" s="480">
        <v>7.516121123322364E-2</v>
      </c>
      <c r="Y13" s="480">
        <v>1.5049705954689041</v>
      </c>
      <c r="Z13" s="480">
        <v>1.6841507334584644</v>
      </c>
      <c r="AA13" s="481">
        <v>3.3851124109189028</v>
      </c>
      <c r="AB13" s="480"/>
      <c r="AC13" s="480"/>
      <c r="AD13" s="480"/>
      <c r="AE13" s="480"/>
      <c r="AF13" s="480"/>
      <c r="AG13" s="497"/>
      <c r="AI13" s="428" t="s">
        <v>352</v>
      </c>
      <c r="AJ13" s="424" t="s">
        <v>346</v>
      </c>
      <c r="AK13" s="425">
        <f>SUM(AK10:AK12)*0.02</f>
        <v>-764272.79128300503</v>
      </c>
      <c r="AL13" s="429">
        <f t="shared" si="1"/>
        <v>-764272.79128300503</v>
      </c>
      <c r="AM13" s="425">
        <f>SUM(AM10:AM12)*0.02</f>
        <v>-834537.42685918184</v>
      </c>
      <c r="AN13" s="429">
        <f t="shared" si="2"/>
        <v>-834537.42685918184</v>
      </c>
      <c r="AP13" s="426"/>
      <c r="AQ13" s="433"/>
    </row>
    <row r="14" spans="1:43" s="479" customFormat="1" ht="15" thickBot="1" x14ac:dyDescent="0.4">
      <c r="B14" s="500" t="str">
        <f>'MN TEP CBA (2024)'!B14</f>
        <v>School Bus Participants</v>
      </c>
      <c r="C14" s="493">
        <f>'MN TEP CBA (2024)'!C14</f>
        <v>0</v>
      </c>
      <c r="D14" s="493">
        <f>'MN TEP CBA (2024)'!D14</f>
        <v>0</v>
      </c>
      <c r="E14" s="493">
        <f>'MN TEP CBA (2024)'!E14</f>
        <v>2</v>
      </c>
      <c r="F14" s="493">
        <f>'MN TEP CBA (2024)'!F14</f>
        <v>0</v>
      </c>
      <c r="G14" s="493">
        <f>'MN TEP CBA (2024)'!G14</f>
        <v>2</v>
      </c>
      <c r="J14" s="497"/>
      <c r="L14" s="479">
        <v>13</v>
      </c>
      <c r="M14" s="480">
        <v>41.728718930125154</v>
      </c>
      <c r="N14" s="480">
        <v>5.5813347433224463</v>
      </c>
      <c r="O14" s="480">
        <v>51.415742967475651</v>
      </c>
      <c r="P14" s="480">
        <v>6.3933822085093404</v>
      </c>
      <c r="Q14" s="480">
        <v>5.3910956276715378</v>
      </c>
      <c r="R14" s="480">
        <v>130.72503015124278</v>
      </c>
      <c r="S14" s="480">
        <v>146.55235753090236</v>
      </c>
      <c r="T14" s="480">
        <v>1136.7737528021403</v>
      </c>
      <c r="U14" s="480">
        <v>1271.9449739004463</v>
      </c>
      <c r="V14" s="480">
        <v>0.4210271465388325</v>
      </c>
      <c r="W14" s="480">
        <v>0.47371295484455739</v>
      </c>
      <c r="X14" s="480">
        <v>8.0215808595501148E-2</v>
      </c>
      <c r="Y14" s="480">
        <v>1.6026600906383313</v>
      </c>
      <c r="Z14" s="480">
        <v>1.8109656177411906</v>
      </c>
      <c r="AA14" s="481">
        <v>3.6395049277789662</v>
      </c>
      <c r="AB14" s="480"/>
      <c r="AC14" s="480"/>
      <c r="AD14" s="480"/>
      <c r="AE14" s="480"/>
      <c r="AF14" s="480"/>
      <c r="AG14" s="497"/>
      <c r="AI14" s="434" t="s">
        <v>354</v>
      </c>
      <c r="AJ14" s="435" t="s">
        <v>346</v>
      </c>
      <c r="AK14" s="436">
        <f>SUM(AK9:AK13)</f>
        <v>-42225993.922707379</v>
      </c>
      <c r="AL14" s="436">
        <f>SUM(AL9:AL13)</f>
        <v>-42225993.922707379</v>
      </c>
      <c r="AM14" s="436">
        <f>SUM(AM9:AM13)</f>
        <v>-45809490.3370924</v>
      </c>
      <c r="AN14" s="436">
        <f>SUM(AN9:AN13)</f>
        <v>-45809490.3370924</v>
      </c>
      <c r="AP14" s="431"/>
      <c r="AQ14" s="437"/>
    </row>
    <row r="15" spans="1:43" s="479" customFormat="1" x14ac:dyDescent="0.35">
      <c r="B15" s="500" t="str">
        <f>'MN TEP CBA (2024)'!B15</f>
        <v>EVSI Program Participants</v>
      </c>
      <c r="C15" s="502">
        <f>'MN TEP CBA (2024)'!C15</f>
        <v>756</v>
      </c>
      <c r="D15" s="502">
        <f>'MN TEP CBA (2024)'!D15</f>
        <v>1352</v>
      </c>
      <c r="E15" s="502">
        <f>'MN TEP CBA (2024)'!E15</f>
        <v>1902</v>
      </c>
      <c r="F15" s="502">
        <f>'MN TEP CBA (2024)'!F15</f>
        <v>2652</v>
      </c>
      <c r="G15" s="502">
        <f>'MN TEP CBA (2024)'!G15</f>
        <v>6662</v>
      </c>
      <c r="J15" s="497"/>
      <c r="L15" s="479">
        <v>14</v>
      </c>
      <c r="M15" s="480">
        <v>44.591269879321437</v>
      </c>
      <c r="N15" s="480">
        <v>5.9640326770047327</v>
      </c>
      <c r="O15" s="480">
        <v>54.942814672735359</v>
      </c>
      <c r="P15" s="480">
        <v>6.8317601723763</v>
      </c>
      <c r="Q15" s="480">
        <v>5.7621674576283297</v>
      </c>
      <c r="R15" s="480">
        <v>138.88057142780312</v>
      </c>
      <c r="S15" s="480">
        <v>157.12065758978983</v>
      </c>
      <c r="T15" s="480">
        <v>1204.1077119779463</v>
      </c>
      <c r="U15" s="480">
        <v>1359.1992051760585</v>
      </c>
      <c r="V15" s="480">
        <v>0.4442729529904772</v>
      </c>
      <c r="W15" s="480">
        <v>0.50455268094740813</v>
      </c>
      <c r="X15" s="480">
        <v>8.5091287394854068E-2</v>
      </c>
      <c r="Y15" s="480">
        <v>1.6959793094021693</v>
      </c>
      <c r="Z15" s="480">
        <v>1.9347702769942643</v>
      </c>
      <c r="AA15" s="481">
        <v>3.8891085875478453</v>
      </c>
      <c r="AB15" s="480"/>
      <c r="AC15" s="480"/>
      <c r="AD15" s="480"/>
      <c r="AE15" s="480"/>
      <c r="AF15" s="480"/>
      <c r="AG15" s="497"/>
      <c r="AI15" s="421"/>
      <c r="AJ15" s="438"/>
      <c r="AK15" s="438"/>
      <c r="AL15" s="438"/>
      <c r="AM15" s="438"/>
      <c r="AN15" s="438"/>
      <c r="AP15" s="431"/>
      <c r="AQ15" s="439"/>
    </row>
    <row r="16" spans="1:43" s="479" customFormat="1" x14ac:dyDescent="0.35">
      <c r="B16" s="500" t="str">
        <f>'MN TEP CBA (2024)'!B16</f>
        <v>EVSE Program Participants</v>
      </c>
      <c r="C16" s="502">
        <f>'MN TEP CBA (2024)'!C16</f>
        <v>605</v>
      </c>
      <c r="D16" s="502">
        <f>'MN TEP CBA (2024)'!D16</f>
        <v>1082</v>
      </c>
      <c r="E16" s="502">
        <f>'MN TEP CBA (2024)'!E16</f>
        <v>1383</v>
      </c>
      <c r="F16" s="502">
        <f>'MN TEP CBA (2024)'!F16</f>
        <v>2040</v>
      </c>
      <c r="G16" s="502">
        <f>'MN TEP CBA (2024)'!G16</f>
        <v>5110</v>
      </c>
      <c r="J16" s="497"/>
      <c r="L16" s="479">
        <v>15</v>
      </c>
      <c r="M16" s="480">
        <v>47.408097604256596</v>
      </c>
      <c r="N16" s="480">
        <v>6.3401012822674616</v>
      </c>
      <c r="O16" s="480">
        <v>58.413548833816179</v>
      </c>
      <c r="P16" s="480">
        <v>7.2625442841771983</v>
      </c>
      <c r="Q16" s="480">
        <v>6.1269813642216553</v>
      </c>
      <c r="R16" s="480">
        <v>146.80238965772071</v>
      </c>
      <c r="S16" s="480">
        <v>167.59278918734765</v>
      </c>
      <c r="T16" s="480">
        <v>1269.0583378103688</v>
      </c>
      <c r="U16" s="480">
        <v>1445.0597338223895</v>
      </c>
      <c r="V16" s="480">
        <v>0.46627470994456327</v>
      </c>
      <c r="W16" s="480">
        <v>0.53438361060727324</v>
      </c>
      <c r="X16" s="480">
        <v>9.0080045163434042E-2</v>
      </c>
      <c r="Y16" s="480">
        <v>1.7854737554938862</v>
      </c>
      <c r="Z16" s="480">
        <v>2.0561107013922708</v>
      </c>
      <c r="AA16" s="481">
        <v>4.1490138850259841</v>
      </c>
      <c r="AB16" s="480"/>
      <c r="AC16" s="480"/>
      <c r="AD16" s="480"/>
      <c r="AE16" s="480"/>
      <c r="AF16" s="480"/>
      <c r="AG16" s="497"/>
      <c r="AI16" s="428"/>
      <c r="AJ16" s="424"/>
      <c r="AK16" s="424"/>
      <c r="AL16" s="424"/>
      <c r="AM16" s="429"/>
      <c r="AN16" s="429"/>
      <c r="AP16" s="431"/>
      <c r="AQ16" s="440"/>
    </row>
    <row r="17" spans="1:43" s="479" customFormat="1" x14ac:dyDescent="0.35">
      <c r="B17" s="500" t="str">
        <f>'MN TEP CBA (2024)'!B17</f>
        <v>Participation Rate</v>
      </c>
      <c r="C17" s="503">
        <f>'MN TEP CBA (2024)'!C17</f>
        <v>0.10390106114970608</v>
      </c>
      <c r="D17" s="503">
        <f>'MN TEP CBA (2024)'!D17</f>
        <v>0.17009084556254367</v>
      </c>
      <c r="E17" s="503">
        <f>'MN TEP CBA (2024)'!E17</f>
        <v>0.17443712829226848</v>
      </c>
      <c r="F17" s="503">
        <f>'MN TEP CBA (2024)'!F17</f>
        <v>0.18966771768130003</v>
      </c>
      <c r="G17" s="503">
        <f>'MN TEP CBA (2024)'!G17</f>
        <v>0.16585187168035617</v>
      </c>
      <c r="J17" s="497"/>
      <c r="L17" s="479">
        <v>16</v>
      </c>
      <c r="M17" s="480">
        <v>50.179932437167139</v>
      </c>
      <c r="N17" s="480">
        <v>6.7095735613280763</v>
      </c>
      <c r="O17" s="480">
        <v>61.828845324366668</v>
      </c>
      <c r="P17" s="480">
        <v>7.6857723477348729</v>
      </c>
      <c r="Q17" s="480">
        <v>6.4856186790869437</v>
      </c>
      <c r="R17" s="480">
        <v>154.49718292033569</v>
      </c>
      <c r="S17" s="480">
        <v>177.96962742864503</v>
      </c>
      <c r="T17" s="480">
        <v>1331.7099900770775</v>
      </c>
      <c r="U17" s="480">
        <v>1529.5488213044762</v>
      </c>
      <c r="V17" s="480">
        <v>0.48819289483392131</v>
      </c>
      <c r="W17" s="480">
        <v>0.564754502201404</v>
      </c>
      <c r="X17" s="480">
        <v>9.4982344023027881E-2</v>
      </c>
      <c r="Y17" s="480">
        <v>1.8718684369139977</v>
      </c>
      <c r="Z17" s="480">
        <v>2.1758233289189075</v>
      </c>
      <c r="AA17" s="481">
        <v>4.4089745971883652</v>
      </c>
      <c r="AB17" s="480"/>
      <c r="AC17" s="480"/>
      <c r="AD17" s="480"/>
      <c r="AE17" s="480"/>
      <c r="AF17" s="480"/>
      <c r="AG17" s="497"/>
      <c r="AI17" s="428"/>
      <c r="AJ17" s="424"/>
      <c r="AK17" s="424"/>
      <c r="AL17" s="424"/>
      <c r="AM17" s="429"/>
      <c r="AN17" s="429"/>
      <c r="AP17" s="441"/>
      <c r="AQ17" s="442"/>
    </row>
    <row r="18" spans="1:43" s="479" customFormat="1" x14ac:dyDescent="0.35">
      <c r="B18" s="500" t="str">
        <f>'MN TEP CBA (2024)'!B18</f>
        <v>TOU Off-Peak rate ($/kWh)</v>
      </c>
      <c r="C18" s="504">
        <f>'MN TEP CBA (2024)'!C18</f>
        <v>4.1700000000000001E-2</v>
      </c>
      <c r="D18" s="539"/>
      <c r="E18" s="539"/>
      <c r="F18" s="539"/>
      <c r="G18" s="539"/>
      <c r="J18" s="497"/>
      <c r="L18" s="479">
        <v>17</v>
      </c>
      <c r="M18" s="480">
        <v>52.907493044769815</v>
      </c>
      <c r="N18" s="480">
        <v>7.0724871732915586</v>
      </c>
      <c r="O18" s="480">
        <v>65.189589644448546</v>
      </c>
      <c r="P18" s="480">
        <v>8.1014875013061847</v>
      </c>
      <c r="Q18" s="480">
        <v>6.8380434583347203</v>
      </c>
      <c r="R18" s="480">
        <v>161.97145734016172</v>
      </c>
      <c r="S18" s="480">
        <v>188.25203945554918</v>
      </c>
      <c r="T18" s="480">
        <v>1392.1440425814515</v>
      </c>
      <c r="U18" s="480">
        <v>1612.6883735073234</v>
      </c>
      <c r="V18" s="480">
        <v>0.5085259202165876</v>
      </c>
      <c r="W18" s="480">
        <v>0.59354826938187955</v>
      </c>
      <c r="X18" s="480">
        <v>9.949030499750533E-2</v>
      </c>
      <c r="Y18" s="480">
        <v>1.955007763305822</v>
      </c>
      <c r="Z18" s="480">
        <v>2.2935576238708295</v>
      </c>
      <c r="AA18" s="481">
        <v>4.6523443963873046</v>
      </c>
      <c r="AB18" s="480"/>
      <c r="AC18" s="480"/>
      <c r="AD18" s="480"/>
      <c r="AE18" s="480"/>
      <c r="AF18" s="480"/>
      <c r="AG18" s="497"/>
      <c r="AI18" s="428"/>
      <c r="AJ18" s="424"/>
      <c r="AK18" s="424"/>
      <c r="AL18" s="424"/>
      <c r="AM18" s="429"/>
      <c r="AN18" s="429"/>
    </row>
    <row r="19" spans="1:43" s="479" customFormat="1" x14ac:dyDescent="0.35">
      <c r="B19" s="500" t="str">
        <f>'MN TEP CBA (2024)'!B19</f>
        <v>Flat rate ($/kWh)</v>
      </c>
      <c r="C19" s="504">
        <f>'MN TEP CBA (2024)'!C19</f>
        <v>9.3023333333333333E-2</v>
      </c>
      <c r="D19" s="539" t="str">
        <f>'MN TEP CBA (2024)'!D19</f>
        <v>Summer/non-summer blended</v>
      </c>
      <c r="E19" s="539">
        <f>'MN TEP CBA (2024)'!E19</f>
        <v>0</v>
      </c>
      <c r="F19" s="539">
        <f>'MN TEP CBA (2024)'!F19</f>
        <v>0</v>
      </c>
      <c r="G19" s="539">
        <f>'MN TEP CBA (2024)'!G19</f>
        <v>0</v>
      </c>
      <c r="J19" s="497"/>
      <c r="L19" s="479">
        <v>18</v>
      </c>
      <c r="M19" s="480">
        <v>55.591486614593748</v>
      </c>
      <c r="N19" s="480">
        <v>7.4288841029346733</v>
      </c>
      <c r="O19" s="480">
        <v>68.496653150124459</v>
      </c>
      <c r="P19" s="480">
        <v>8.5097378381765463</v>
      </c>
      <c r="Q19" s="480">
        <v>7.1842866292985432</v>
      </c>
      <c r="R19" s="480">
        <v>169.2315325879639</v>
      </c>
      <c r="S19" s="480">
        <v>198.44088451918819</v>
      </c>
      <c r="T19" s="480">
        <v>1450.4389888432622</v>
      </c>
      <c r="U19" s="480">
        <v>1694.4999464155462</v>
      </c>
      <c r="V19" s="480">
        <v>0.52823328605886977</v>
      </c>
      <c r="W19" s="480">
        <v>0.62206952198765331</v>
      </c>
      <c r="X19" s="480">
        <v>0.10367884753294968</v>
      </c>
      <c r="Y19" s="480">
        <v>2.0345917767003163</v>
      </c>
      <c r="Z19" s="480">
        <v>2.4087346479120493</v>
      </c>
      <c r="AA19" s="481">
        <v>4.8826045394048787</v>
      </c>
      <c r="AB19" s="480"/>
      <c r="AC19" s="480"/>
      <c r="AD19" s="480"/>
      <c r="AE19" s="480"/>
      <c r="AF19" s="480"/>
      <c r="AG19" s="497"/>
      <c r="AI19" s="428"/>
      <c r="AJ19" s="424"/>
      <c r="AK19" s="424"/>
      <c r="AL19" s="424"/>
      <c r="AM19" s="429"/>
      <c r="AN19" s="429"/>
      <c r="AP19" s="420" t="s">
        <v>361</v>
      </c>
      <c r="AQ19" s="419"/>
    </row>
    <row r="20" spans="1:43" s="479" customFormat="1" ht="15" thickBot="1" x14ac:dyDescent="0.4">
      <c r="B20" s="500" t="str">
        <f>'MN TEP CBA (2024)'!B20</f>
        <v>Off-peak/Flate rate ratio</v>
      </c>
      <c r="C20" s="505">
        <f>'MN TEP CBA (2024)'!C20</f>
        <v>0.4482746264378113</v>
      </c>
      <c r="D20" s="539"/>
      <c r="E20" s="539"/>
      <c r="F20" s="539"/>
      <c r="G20" s="539"/>
      <c r="J20" s="497"/>
      <c r="L20" s="479">
        <v>19</v>
      </c>
      <c r="M20" s="480">
        <v>58.232609038336271</v>
      </c>
      <c r="N20" s="480">
        <v>7.7788103458995899</v>
      </c>
      <c r="O20" s="480">
        <v>71.750893279378644</v>
      </c>
      <c r="P20" s="480">
        <v>8.9105760460512915</v>
      </c>
      <c r="Q20" s="480">
        <v>7.5243834834161323</v>
      </c>
      <c r="R20" s="480">
        <v>176.2835472241855</v>
      </c>
      <c r="S20" s="480">
        <v>208.5370140517544</v>
      </c>
      <c r="T20" s="480">
        <v>1506.6705440483586</v>
      </c>
      <c r="U20" s="480">
        <v>1775.004751702292</v>
      </c>
      <c r="V20" s="480">
        <v>0.54769485382980665</v>
      </c>
      <c r="W20" s="480">
        <v>0.65085419959072399</v>
      </c>
      <c r="X20" s="480">
        <v>0.10798296395903099</v>
      </c>
      <c r="Y20" s="480">
        <v>2.1108271517660198</v>
      </c>
      <c r="Z20" s="480">
        <v>2.5214907587785382</v>
      </c>
      <c r="AA20" s="481">
        <v>5.1235935787161235</v>
      </c>
      <c r="AB20" s="480"/>
      <c r="AC20" s="480"/>
      <c r="AD20" s="480"/>
      <c r="AE20" s="480"/>
      <c r="AF20" s="480"/>
      <c r="AG20" s="497"/>
      <c r="AI20" s="434"/>
      <c r="AJ20" s="435"/>
      <c r="AK20" s="436"/>
      <c r="AL20" s="435"/>
      <c r="AM20" s="436"/>
      <c r="AN20" s="436"/>
      <c r="AP20" s="422" t="s">
        <v>363</v>
      </c>
      <c r="AQ20" s="423">
        <f>B3</f>
        <v>10</v>
      </c>
    </row>
    <row r="21" spans="1:43" s="479" customFormat="1" x14ac:dyDescent="0.35">
      <c r="J21" s="497"/>
      <c r="L21" s="479">
        <v>20</v>
      </c>
      <c r="M21" s="480">
        <v>60.831545092290071</v>
      </c>
      <c r="N21" s="480">
        <v>8.1223156095865043</v>
      </c>
      <c r="O21" s="480">
        <v>74.95315377442887</v>
      </c>
      <c r="P21" s="480">
        <v>9.3040590644301346</v>
      </c>
      <c r="Q21" s="480">
        <v>7.8583733658374797</v>
      </c>
      <c r="R21" s="480">
        <v>183.13346388924188</v>
      </c>
      <c r="S21" s="480">
        <v>218.54127173765445</v>
      </c>
      <c r="T21" s="480">
        <v>1560.9117433897711</v>
      </c>
      <c r="U21" s="480">
        <v>1854.2236622288913</v>
      </c>
      <c r="V21" s="480">
        <v>0.5660940093740785</v>
      </c>
      <c r="W21" s="480">
        <v>0.67866573513032591</v>
      </c>
      <c r="X21" s="480">
        <v>0.11206556957186346</v>
      </c>
      <c r="Y21" s="480">
        <v>2.1840216751135446</v>
      </c>
      <c r="Z21" s="480">
        <v>2.6321291020702047</v>
      </c>
      <c r="AA21" s="481">
        <v>5.3564530064585592</v>
      </c>
      <c r="AB21" s="480"/>
      <c r="AC21" s="480"/>
      <c r="AD21" s="480"/>
      <c r="AE21" s="480"/>
      <c r="AF21" s="480"/>
      <c r="AG21" s="497"/>
      <c r="AI21" s="421" t="s">
        <v>364</v>
      </c>
      <c r="AJ21" s="438"/>
      <c r="AK21" s="438"/>
      <c r="AL21" s="438"/>
      <c r="AM21" s="438"/>
      <c r="AN21" s="438"/>
      <c r="AO21" s="443"/>
      <c r="AP21" s="426"/>
      <c r="AQ21" s="427"/>
    </row>
    <row r="22" spans="1:43" s="479" customFormat="1" x14ac:dyDescent="0.35">
      <c r="J22" s="497"/>
      <c r="AG22" s="497"/>
      <c r="AI22" s="428" t="s">
        <v>365</v>
      </c>
      <c r="AJ22" s="424" t="s">
        <v>346</v>
      </c>
      <c r="AK22" s="424" t="s">
        <v>346</v>
      </c>
      <c r="AL22" s="424" t="s">
        <v>346</v>
      </c>
      <c r="AM22" s="425" cm="1">
        <f t="array" ref="AM22">INDEX($X$2:$X$21,$B$3)*$AQ$26</f>
        <v>-4981114.5067224093</v>
      </c>
      <c r="AN22" s="424">
        <f>AM22</f>
        <v>-4981114.5067224093</v>
      </c>
      <c r="AO22" s="443"/>
      <c r="AP22" s="426" t="s">
        <v>366</v>
      </c>
      <c r="AQ22" s="430">
        <v>8.6999999999999966E-2</v>
      </c>
    </row>
    <row r="23" spans="1:43" s="479" customFormat="1" x14ac:dyDescent="0.35">
      <c r="J23" s="497"/>
      <c r="AG23" s="497"/>
      <c r="AI23" s="428" t="s">
        <v>367</v>
      </c>
      <c r="AJ23" s="424" t="s">
        <v>346</v>
      </c>
      <c r="AK23" s="424" t="s">
        <v>346</v>
      </c>
      <c r="AL23" s="424" t="s">
        <v>346</v>
      </c>
      <c r="AM23" s="424">
        <v>0</v>
      </c>
      <c r="AN23" s="424">
        <v>0</v>
      </c>
      <c r="AO23" s="443"/>
      <c r="AP23" s="426" t="s">
        <v>368</v>
      </c>
      <c r="AQ23" s="430">
        <v>0.10560000000000003</v>
      </c>
    </row>
    <row r="24" spans="1:43" s="479" customFormat="1" x14ac:dyDescent="0.35">
      <c r="J24" s="497"/>
      <c r="AG24" s="497"/>
      <c r="AI24" s="428" t="s">
        <v>370</v>
      </c>
      <c r="AJ24" s="424" t="s">
        <v>346</v>
      </c>
      <c r="AK24" s="424" t="s">
        <v>346</v>
      </c>
      <c r="AL24" s="424" t="s">
        <v>346</v>
      </c>
      <c r="AM24" s="425" cm="1">
        <f t="array" ref="AM24">INDEX($N$2:$N$21,$B$3)*$AQ$27+INDEX($P$2:$P$21,$B$3)*$AQ$28</f>
        <v>44242093.058641158</v>
      </c>
      <c r="AN24" s="424">
        <f>AM24</f>
        <v>44242093.058641158</v>
      </c>
      <c r="AO24" s="443"/>
      <c r="AP24" s="431" t="s">
        <v>371</v>
      </c>
      <c r="AQ24" s="444">
        <f>D3*(1+AQ23)*E13+D4*(1+AQ23)*E14</f>
        <v>-11121.168680434141</v>
      </c>
    </row>
    <row r="25" spans="1:43" s="479" customFormat="1" x14ac:dyDescent="0.35">
      <c r="J25" s="497"/>
      <c r="AG25" s="497"/>
      <c r="AI25" s="428" t="s">
        <v>372</v>
      </c>
      <c r="AJ25" s="445" t="s">
        <v>346</v>
      </c>
      <c r="AK25" s="424" t="s">
        <v>346</v>
      </c>
      <c r="AL25" s="424" t="s">
        <v>346</v>
      </c>
      <c r="AM25" s="424">
        <v>0</v>
      </c>
      <c r="AN25" s="424">
        <v>0</v>
      </c>
      <c r="AO25" s="443"/>
      <c r="AP25" s="426" t="s">
        <v>373</v>
      </c>
      <c r="AQ25" s="446">
        <f>C3*E13+C4*E14</f>
        <v>-71612235.324403867</v>
      </c>
    </row>
    <row r="26" spans="1:43" s="479" customFormat="1" x14ac:dyDescent="0.35">
      <c r="A26" s="508"/>
      <c r="B26" s="508"/>
      <c r="C26" s="508"/>
      <c r="D26" s="508"/>
      <c r="E26" s="508"/>
      <c r="F26" s="508"/>
      <c r="G26" s="508"/>
      <c r="I26" s="508"/>
      <c r="J26" s="509"/>
      <c r="K26" s="508"/>
      <c r="L26" s="508"/>
      <c r="M26" s="508"/>
      <c r="N26" s="508"/>
      <c r="O26" s="508"/>
      <c r="P26" s="508"/>
      <c r="Q26" s="508"/>
      <c r="R26" s="508"/>
      <c r="S26" s="508"/>
      <c r="T26" s="508"/>
      <c r="U26" s="508"/>
      <c r="V26" s="508"/>
      <c r="W26" s="508"/>
      <c r="X26" s="508"/>
      <c r="AG26" s="497"/>
      <c r="AI26" s="428" t="s">
        <v>374</v>
      </c>
      <c r="AJ26" s="445" t="s">
        <v>346</v>
      </c>
      <c r="AK26" s="424" t="s">
        <v>346</v>
      </c>
      <c r="AL26" s="424" t="s">
        <v>346</v>
      </c>
      <c r="AM26" s="424">
        <v>0</v>
      </c>
      <c r="AN26" s="424">
        <v>0</v>
      </c>
      <c r="AO26" s="443"/>
      <c r="AP26" s="431" t="s">
        <v>375</v>
      </c>
      <c r="AQ26" s="447">
        <f>AQ25*(1+AQ22)</f>
        <v>-77842499.797627002</v>
      </c>
    </row>
    <row r="27" spans="1:43" s="479" customFormat="1" x14ac:dyDescent="0.35">
      <c r="A27" s="511"/>
      <c r="B27" s="511"/>
      <c r="C27" s="511"/>
      <c r="D27" s="511"/>
      <c r="E27" s="511"/>
      <c r="F27" s="511"/>
      <c r="G27" s="511"/>
      <c r="I27" s="511"/>
      <c r="J27" s="512"/>
      <c r="K27" s="511"/>
      <c r="L27" s="511"/>
      <c r="M27" s="511"/>
      <c r="N27" s="511"/>
      <c r="O27" s="511"/>
      <c r="P27" s="511"/>
      <c r="Q27" s="511"/>
      <c r="R27" s="511"/>
      <c r="S27" s="511"/>
      <c r="T27" s="511"/>
      <c r="U27" s="511"/>
      <c r="V27" s="511"/>
      <c r="W27" s="511"/>
      <c r="X27" s="511"/>
      <c r="AG27" s="497"/>
      <c r="AI27" s="428" t="s">
        <v>376</v>
      </c>
      <c r="AJ27" s="425" cm="1">
        <f t="array" ref="AJ27">INDEX($M$2:$M$21,$B$3)*$AQ$27+INDEX($O$2:$O$21,$B$3)*$AQ$28</f>
        <v>330909627.64321899</v>
      </c>
      <c r="AK27" s="424" t="s">
        <v>346</v>
      </c>
      <c r="AL27" s="424" t="s">
        <v>346</v>
      </c>
      <c r="AM27" s="425">
        <f>AJ27</f>
        <v>330909627.64321899</v>
      </c>
      <c r="AN27" s="424">
        <f>AJ27</f>
        <v>330909627.64321899</v>
      </c>
      <c r="AO27" s="443"/>
      <c r="AP27" s="431" t="s">
        <v>377</v>
      </c>
      <c r="AQ27" s="448">
        <f>E3*E13</f>
        <v>10064357.745454546</v>
      </c>
    </row>
    <row r="28" spans="1:43" s="479" customFormat="1" x14ac:dyDescent="0.35">
      <c r="J28" s="497"/>
      <c r="AG28" s="497"/>
      <c r="AI28" s="428" t="s">
        <v>378</v>
      </c>
      <c r="AJ28" s="424" t="s">
        <v>346</v>
      </c>
      <c r="AK28" s="424">
        <v>0</v>
      </c>
      <c r="AL28" s="424">
        <v>0</v>
      </c>
      <c r="AM28" s="424">
        <v>0</v>
      </c>
      <c r="AN28" s="424">
        <v>0</v>
      </c>
      <c r="AO28" s="443"/>
      <c r="AP28" s="431" t="s">
        <v>379</v>
      </c>
      <c r="AQ28" s="448">
        <f>F4*E14</f>
        <v>5000</v>
      </c>
    </row>
    <row r="29" spans="1:43" s="479" customFormat="1" x14ac:dyDescent="0.35">
      <c r="J29" s="497"/>
      <c r="AG29" s="497"/>
      <c r="AI29" s="428" t="s">
        <v>380</v>
      </c>
      <c r="AJ29" s="449" t="s">
        <v>346</v>
      </c>
      <c r="AK29" s="424">
        <v>0</v>
      </c>
      <c r="AL29" s="424">
        <v>0</v>
      </c>
      <c r="AM29" s="424">
        <v>0</v>
      </c>
      <c r="AN29" s="424">
        <v>0</v>
      </c>
      <c r="AO29" s="443"/>
      <c r="AP29" s="431" t="s">
        <v>381</v>
      </c>
      <c r="AQ29" s="440">
        <f>E13</f>
        <v>18832</v>
      </c>
    </row>
    <row r="30" spans="1:43" s="479" customFormat="1" ht="15" thickBot="1" x14ac:dyDescent="0.4">
      <c r="J30" s="497"/>
      <c r="AG30" s="497"/>
      <c r="AI30" s="434" t="s">
        <v>354</v>
      </c>
      <c r="AJ30" s="436">
        <f t="shared" ref="AJ30:AN30" si="3">SUM(AJ22:AJ29)</f>
        <v>330909627.64321899</v>
      </c>
      <c r="AK30" s="436">
        <f t="shared" si="3"/>
        <v>0</v>
      </c>
      <c r="AL30" s="436">
        <f t="shared" si="3"/>
        <v>0</v>
      </c>
      <c r="AM30" s="436">
        <f t="shared" si="3"/>
        <v>370170606.19513774</v>
      </c>
      <c r="AN30" s="436">
        <f t="shared" si="3"/>
        <v>370170606.19513774</v>
      </c>
      <c r="AO30" s="443"/>
      <c r="AP30" s="431" t="s">
        <v>406</v>
      </c>
      <c r="AQ30" s="440">
        <f>E14</f>
        <v>2</v>
      </c>
    </row>
    <row r="31" spans="1:43" s="479" customFormat="1" x14ac:dyDescent="0.35">
      <c r="J31" s="497"/>
      <c r="AG31" s="497"/>
      <c r="AI31" s="421" t="s">
        <v>383</v>
      </c>
      <c r="AJ31" s="429"/>
      <c r="AK31" s="429"/>
      <c r="AL31" s="429"/>
      <c r="AM31" s="429"/>
      <c r="AN31" s="429"/>
      <c r="AO31" s="443"/>
    </row>
    <row r="32" spans="1:43" s="479" customFormat="1" x14ac:dyDescent="0.35">
      <c r="J32" s="497"/>
      <c r="AG32" s="497"/>
      <c r="AI32" s="428" t="s">
        <v>384</v>
      </c>
      <c r="AJ32" s="425" cm="1">
        <f t="array" ref="AJ32">(INDEX($Z$2:$Z$21,$B$3)*$AQ$26)*(1-E17)+(INDEX($Z$2:$Z$21,$B$3)*$AQ$26)*(E17)*C20</f>
        <v>-100251195.16320443</v>
      </c>
      <c r="AK32" s="424" t="s">
        <v>346</v>
      </c>
      <c r="AL32" s="425" cm="1">
        <f t="array" ref="AL32">(INDEX($Y$2:$Y$21,$B$3)*$AQ$26*-1)*(1-E17)+(INDEX($Y$2:$Y$21,$B$3)*$AQ$26*-1)*E17*C20</f>
        <v>91365160.20437023</v>
      </c>
      <c r="AM32" s="424" t="s">
        <v>346</v>
      </c>
      <c r="AN32" s="424" t="s">
        <v>346</v>
      </c>
      <c r="AO32" s="443"/>
      <c r="AP32" s="420" t="s">
        <v>385</v>
      </c>
      <c r="AQ32" s="419"/>
    </row>
    <row r="33" spans="10:43" s="479" customFormat="1" x14ac:dyDescent="0.35">
      <c r="J33" s="497"/>
      <c r="AG33" s="497"/>
      <c r="AI33" s="428" t="s">
        <v>386</v>
      </c>
      <c r="AJ33" s="425">
        <v>0</v>
      </c>
      <c r="AK33" s="424" t="s">
        <v>346</v>
      </c>
      <c r="AL33" s="424" t="s">
        <v>346</v>
      </c>
      <c r="AM33" s="424" t="s">
        <v>346</v>
      </c>
      <c r="AN33" s="424" t="s">
        <v>346</v>
      </c>
      <c r="AO33" s="443"/>
      <c r="AP33" s="422"/>
      <c r="AQ33" s="450"/>
    </row>
    <row r="34" spans="10:43" s="479" customFormat="1" x14ac:dyDescent="0.35">
      <c r="J34" s="497"/>
      <c r="AG34" s="497"/>
      <c r="AI34" s="428" t="s">
        <v>387</v>
      </c>
      <c r="AJ34" s="425">
        <f>-1*AK44</f>
        <v>0</v>
      </c>
      <c r="AK34" s="424" t="s">
        <v>346</v>
      </c>
      <c r="AL34" s="424" t="s">
        <v>346</v>
      </c>
      <c r="AM34" s="451">
        <f>AJ34</f>
        <v>0</v>
      </c>
      <c r="AN34" s="424" t="s">
        <v>346</v>
      </c>
      <c r="AO34" s="443"/>
      <c r="AP34" s="426"/>
      <c r="AQ34" s="452"/>
    </row>
    <row r="35" spans="10:43" s="479" customFormat="1" x14ac:dyDescent="0.35">
      <c r="J35" s="497"/>
      <c r="AG35" s="497"/>
      <c r="AI35" s="428" t="s">
        <v>388</v>
      </c>
      <c r="AJ35" s="425">
        <f>(I3*E13+I4*E14)*-1</f>
        <v>-320644000</v>
      </c>
      <c r="AK35" s="424" t="s">
        <v>346</v>
      </c>
      <c r="AL35" s="424" t="s">
        <v>346</v>
      </c>
      <c r="AM35" s="445">
        <f>AJ35</f>
        <v>-320644000</v>
      </c>
      <c r="AN35" s="424" t="s">
        <v>346</v>
      </c>
      <c r="AO35" s="443"/>
      <c r="AP35" s="426" t="s">
        <v>389</v>
      </c>
      <c r="AQ35" s="452">
        <f>$AA$2*$AQ$26/2000</f>
        <v>-14660.777973167727</v>
      </c>
    </row>
    <row r="36" spans="10:43" s="479" customFormat="1" x14ac:dyDescent="0.35">
      <c r="J36" s="497"/>
      <c r="AG36" s="497"/>
      <c r="AI36" s="453" t="s">
        <v>390</v>
      </c>
      <c r="AJ36" s="425">
        <f>PV(AF2,B3,-G3)*E13+PV(AF2,B4,-G4)*E14</f>
        <v>120206752.06371947</v>
      </c>
      <c r="AK36" s="424" t="s">
        <v>346</v>
      </c>
      <c r="AL36" s="449" t="s">
        <v>346</v>
      </c>
      <c r="AM36" s="445">
        <f>AJ36</f>
        <v>120206752.06371947</v>
      </c>
      <c r="AN36" s="424" t="s">
        <v>346</v>
      </c>
      <c r="AO36" s="443"/>
      <c r="AP36" s="426"/>
      <c r="AQ36" s="452"/>
    </row>
    <row r="37" spans="10:43" s="479" customFormat="1" ht="15" thickBot="1" x14ac:dyDescent="0.4">
      <c r="J37" s="497"/>
      <c r="AG37" s="497"/>
      <c r="AI37" s="434" t="s">
        <v>354</v>
      </c>
      <c r="AJ37" s="454">
        <f>SUM(AJ32:AJ36)</f>
        <v>-300688443.09948498</v>
      </c>
      <c r="AK37" s="455" t="s">
        <v>346</v>
      </c>
      <c r="AL37" s="456">
        <f>AL32</f>
        <v>91365160.20437023</v>
      </c>
      <c r="AM37" s="456">
        <f>SUM(AM34:AM36)</f>
        <v>-200437247.93628055</v>
      </c>
      <c r="AN37" s="455" t="s">
        <v>346</v>
      </c>
      <c r="AO37" s="443"/>
      <c r="AP37" s="426" t="s">
        <v>391</v>
      </c>
      <c r="AQ37" s="452">
        <f>AQ27*AB2/2000+AQ28*AD2/2000</f>
        <v>98649.050585387929</v>
      </c>
    </row>
    <row r="38" spans="10:43" s="479" customFormat="1" x14ac:dyDescent="0.35">
      <c r="J38" s="497"/>
      <c r="AG38" s="497"/>
      <c r="AI38" s="421" t="s">
        <v>392</v>
      </c>
      <c r="AJ38" s="457"/>
      <c r="AK38" s="458"/>
      <c r="AL38" s="457"/>
      <c r="AM38" s="457"/>
      <c r="AN38" s="459"/>
      <c r="AO38" s="443"/>
      <c r="AP38" s="460" t="s">
        <v>393</v>
      </c>
      <c r="AQ38" s="461">
        <f>SUM(AQ35:AQ37)</f>
        <v>83988.2726122202</v>
      </c>
    </row>
    <row r="39" spans="10:43" s="479" customFormat="1" x14ac:dyDescent="0.35">
      <c r="J39" s="497"/>
      <c r="AG39" s="497"/>
      <c r="AI39" s="420" t="s">
        <v>394</v>
      </c>
      <c r="AJ39" s="445"/>
      <c r="AK39" s="445"/>
      <c r="AL39" s="445"/>
      <c r="AM39" s="445"/>
      <c r="AN39" s="445"/>
      <c r="AO39" s="443"/>
      <c r="AP39" s="443"/>
      <c r="AQ39" s="443"/>
    </row>
    <row r="40" spans="10:43" s="479" customFormat="1" x14ac:dyDescent="0.35">
      <c r="J40" s="497"/>
      <c r="AG40" s="497"/>
      <c r="AI40" s="515" t="s">
        <v>395</v>
      </c>
      <c r="AJ40" s="424" t="s">
        <v>346</v>
      </c>
      <c r="AK40" s="462">
        <f>E10</f>
        <v>3574045.3521351111</v>
      </c>
      <c r="AL40" s="429">
        <f>AK40</f>
        <v>3574045.3521351111</v>
      </c>
      <c r="AM40" s="429">
        <f>AL40</f>
        <v>3574045.3521351111</v>
      </c>
      <c r="AN40" s="429">
        <f>AM40</f>
        <v>3574045.3521351111</v>
      </c>
      <c r="AO40" s="443"/>
      <c r="AP40" s="420" t="s">
        <v>396</v>
      </c>
      <c r="AQ40" s="463"/>
    </row>
    <row r="41" spans="10:43" s="479" customFormat="1" x14ac:dyDescent="0.35">
      <c r="J41" s="497"/>
      <c r="AG41" s="497"/>
      <c r="AI41" s="428" t="s">
        <v>397</v>
      </c>
      <c r="AJ41" s="424" t="s">
        <v>346</v>
      </c>
      <c r="AK41" s="425">
        <f>C7*-1</f>
        <v>0</v>
      </c>
      <c r="AL41" s="429">
        <f t="shared" ref="AL41:AL45" si="4">AK41</f>
        <v>0</v>
      </c>
      <c r="AM41" s="429">
        <f>AL41</f>
        <v>0</v>
      </c>
      <c r="AN41" s="429">
        <f t="shared" ref="AN41:AN45" si="5">AM41</f>
        <v>0</v>
      </c>
      <c r="AO41" s="443"/>
      <c r="AP41" s="422"/>
      <c r="AQ41" s="450"/>
    </row>
    <row r="42" spans="10:43" s="479" customFormat="1" x14ac:dyDescent="0.35">
      <c r="J42" s="497"/>
      <c r="AG42" s="497"/>
      <c r="AI42" s="428" t="s">
        <v>398</v>
      </c>
      <c r="AJ42" s="424" t="s">
        <v>346</v>
      </c>
      <c r="AK42" s="425">
        <f>D7*-1</f>
        <v>0</v>
      </c>
      <c r="AL42" s="429">
        <f t="shared" si="4"/>
        <v>0</v>
      </c>
      <c r="AM42" s="429">
        <f>AL42</f>
        <v>0</v>
      </c>
      <c r="AN42" s="429">
        <f t="shared" si="5"/>
        <v>0</v>
      </c>
      <c r="AO42" s="443"/>
      <c r="AP42" s="426"/>
      <c r="AQ42" s="452"/>
    </row>
    <row r="43" spans="10:43" s="479" customFormat="1" x14ac:dyDescent="0.35">
      <c r="J43" s="497"/>
      <c r="AG43" s="497"/>
      <c r="AI43" s="428" t="s">
        <v>399</v>
      </c>
      <c r="AJ43" s="424" t="s">
        <v>346</v>
      </c>
      <c r="AK43" s="425">
        <f>E7*-1</f>
        <v>0</v>
      </c>
      <c r="AL43" s="429">
        <f t="shared" si="4"/>
        <v>0</v>
      </c>
      <c r="AM43" s="429">
        <f>AL43</f>
        <v>0</v>
      </c>
      <c r="AN43" s="429">
        <f t="shared" si="5"/>
        <v>0</v>
      </c>
      <c r="AO43" s="443"/>
      <c r="AP43" s="426" t="s">
        <v>389</v>
      </c>
      <c r="AQ43" s="452" cm="1">
        <f t="array" ref="AQ43">INDEX($AA$2:$AA$21,$B$3)*$AQ$26/2000</f>
        <v>-110426.44208330978</v>
      </c>
    </row>
    <row r="44" spans="10:43" s="479" customFormat="1" x14ac:dyDescent="0.35">
      <c r="J44" s="497"/>
      <c r="AG44" s="497"/>
      <c r="AI44" s="428" t="s">
        <v>326</v>
      </c>
      <c r="AJ44" s="424" t="s">
        <v>346</v>
      </c>
      <c r="AK44" s="425">
        <f>-H3*C15</f>
        <v>0</v>
      </c>
      <c r="AL44" s="429">
        <f t="shared" si="4"/>
        <v>0</v>
      </c>
      <c r="AM44" s="429">
        <f>AL44</f>
        <v>0</v>
      </c>
      <c r="AN44" s="429">
        <f t="shared" si="5"/>
        <v>0</v>
      </c>
      <c r="AO44" s="443"/>
      <c r="AP44" s="426"/>
      <c r="AQ44" s="452"/>
    </row>
    <row r="45" spans="10:43" s="479" customFormat="1" x14ac:dyDescent="0.35">
      <c r="J45" s="497"/>
      <c r="AG45" s="497"/>
      <c r="AI45" s="453" t="s">
        <v>400</v>
      </c>
      <c r="AJ45" s="449" t="s">
        <v>346</v>
      </c>
      <c r="AK45" s="464">
        <f>F7*-1</f>
        <v>0</v>
      </c>
      <c r="AL45" s="465">
        <f t="shared" si="4"/>
        <v>0</v>
      </c>
      <c r="AM45" s="465">
        <f>AL45</f>
        <v>0</v>
      </c>
      <c r="AN45" s="465">
        <f t="shared" si="5"/>
        <v>0</v>
      </c>
      <c r="AO45" s="443"/>
      <c r="AP45" s="426" t="s">
        <v>391</v>
      </c>
      <c r="AQ45" s="452">
        <f>AQ27*AB2*B3/2000+AQ28*AD2*B4/2000</f>
        <v>986490.50585387938</v>
      </c>
    </row>
    <row r="46" spans="10:43" s="479" customFormat="1" ht="15" thickBot="1" x14ac:dyDescent="0.4">
      <c r="J46" s="497"/>
      <c r="AG46" s="497"/>
      <c r="AI46" s="434" t="s">
        <v>354</v>
      </c>
      <c r="AJ46" s="436" t="s">
        <v>346</v>
      </c>
      <c r="AK46" s="466">
        <f>SUM(AK40:AK45)</f>
        <v>3574045.3521351111</v>
      </c>
      <c r="AL46" s="467">
        <f t="shared" ref="AL46:AN46" si="6">SUM(AL40:AL45)</f>
        <v>3574045.3521351111</v>
      </c>
      <c r="AM46" s="466">
        <f t="shared" si="6"/>
        <v>3574045.3521351111</v>
      </c>
      <c r="AN46" s="466">
        <f t="shared" si="6"/>
        <v>3574045.3521351111</v>
      </c>
      <c r="AO46" s="443"/>
      <c r="AP46" s="460" t="s">
        <v>393</v>
      </c>
      <c r="AQ46" s="461">
        <f>SUM(AQ43:AQ45)</f>
        <v>876064.06377056963</v>
      </c>
    </row>
    <row r="47" spans="10:43" s="479" customFormat="1" ht="15" thickBot="1" x14ac:dyDescent="0.4">
      <c r="J47" s="497"/>
      <c r="AG47" s="497"/>
      <c r="AI47" s="468"/>
      <c r="AJ47" s="458"/>
      <c r="AK47" s="458"/>
      <c r="AL47" s="457"/>
      <c r="AM47" s="457"/>
      <c r="AN47" s="459"/>
      <c r="AO47" s="443"/>
    </row>
    <row r="48" spans="10:43" s="479" customFormat="1" ht="15" thickBot="1" x14ac:dyDescent="0.4">
      <c r="J48" s="497"/>
      <c r="AG48" s="497"/>
      <c r="AI48" s="469" t="s">
        <v>265</v>
      </c>
      <c r="AJ48" s="470">
        <f>SUMIF(AJ10:AJ13,"&gt;0")+SUMIF(AJ16:AJ19,"&gt;0")+SUMIF(AJ22:AJ29,"&gt;0")+SUMIF(AJ32:AJ36,"&gt;0")+SUMIF(AJ40:AJ45,"&gt;0")</f>
        <v>451116379.70693845</v>
      </c>
      <c r="AK48" s="470">
        <f>SUMIF(AK10:AK13,"&gt;0")+SUMIF(AK16:AK19,"&gt;0")+SUMIF(AK22:AK29,"&gt;0")+SUMIF(AK32:AK36,"&gt;0")+SUMIF(AK40:AK45,"&gt;0")</f>
        <v>3574045.3521351111</v>
      </c>
      <c r="AL48" s="470">
        <f>SUMIF(AL10:AL13,"&gt;0")+SUMIF(AL16:AL19,"&gt;0")+SUMIF(AL22:AL29,"&gt;0")+SUMIF(AL32:AL36,"&gt;0")+SUMIF(AL40:AL45,"&gt;0")</f>
        <v>94939205.556505337</v>
      </c>
      <c r="AM48" s="470">
        <f>SUMIF(AM10:AM13,"&gt;0")+SUMIF(AM16:AM19,"&gt;0")+SUMIF(AM22:AM29,"&gt;0")+SUMIF(AM32:AM36,"&gt;0")+SUMIF(AM40:AM45,"&gt;0")</f>
        <v>498932518.1177147</v>
      </c>
      <c r="AN48" s="471">
        <f>SUMIF(AN10:AN13,"&gt;0")+SUMIF(AN16:AN19,"&gt;0")+SUMIF(AN22:AN29,"&gt;0")+SUMIF(AN32:AN36,"&gt;0")+SUMIF(AN40:AN45,"&gt;0")</f>
        <v>378725766.05399525</v>
      </c>
      <c r="AO48" s="443"/>
    </row>
    <row r="49" spans="10:41" s="479" customFormat="1" ht="15" thickBot="1" x14ac:dyDescent="0.4">
      <c r="J49" s="497"/>
      <c r="AG49" s="497"/>
      <c r="AI49" s="469" t="s">
        <v>281</v>
      </c>
      <c r="AJ49" s="470">
        <f>SUMIF(AJ10:AJ13,"&lt;0")+SUMIF(AJ16:AJ19,"&lt;0")+SUMIF(AJ22:AJ29,"&lt;0")+SUMIF(AJ32:AJ36,"&lt;0")+SUMIF(AJ40:AJ45,"&lt;0")</f>
        <v>-420895195.16320443</v>
      </c>
      <c r="AK49" s="470">
        <f>SUMIF(AK10:AK13,"&lt;0")+SUMIF(AK16:AK19,"&lt;0")+SUMIF(AK22:AK29,"&lt;0")+SUMIF(AK32:AK36,"&lt;0")+SUMIF(AK40:AK45,"&lt;0")</f>
        <v>-38977912.355433255</v>
      </c>
      <c r="AL49" s="470">
        <f>SUMIF(AL10:AL13,"&lt;0")+SUMIF(AL16:AL19,"&lt;0")+SUMIF(AL22:AL29,"&lt;0")+SUMIF(AL32:AL36,"&lt;0")+SUMIF(AL40:AL45,"&lt;0")</f>
        <v>-38977912.355433255</v>
      </c>
      <c r="AM49" s="470">
        <f>SUMIF(AM10:AM13,"&lt;0")+SUMIF(AM16:AM19,"&lt;0")+SUMIF(AM22:AM29,"&lt;0")+SUMIF(AM32:AM36,"&lt;0")+SUMIF(AM40:AM45,"&lt;0")</f>
        <v>-368186523.2765407</v>
      </c>
      <c r="AN49" s="471">
        <f>SUMIF(AN10:AN13,"&lt;0")+SUMIF(AN16:AN19,"&lt;0")+SUMIF(AN22:AN29,"&lt;0")+SUMIF(AN32:AN36,"&lt;0")+SUMIF(AN40:AN45,"&lt;0")</f>
        <v>-47542523.276540682</v>
      </c>
      <c r="AO49" s="443"/>
    </row>
    <row r="50" spans="10:41" s="479" customFormat="1" ht="15" thickBot="1" x14ac:dyDescent="0.4">
      <c r="J50" s="497"/>
      <c r="AG50" s="497"/>
      <c r="AI50" s="472" t="s">
        <v>402</v>
      </c>
      <c r="AJ50" s="473">
        <f>AJ48+AJ49</f>
        <v>30221184.543734014</v>
      </c>
      <c r="AK50" s="473">
        <f t="shared" ref="AK50:AN50" si="7">AK48+AK49</f>
        <v>-35403867.003298141</v>
      </c>
      <c r="AL50" s="473">
        <f t="shared" si="7"/>
        <v>55961293.201072082</v>
      </c>
      <c r="AM50" s="473">
        <f t="shared" si="7"/>
        <v>130745994.84117401</v>
      </c>
      <c r="AN50" s="474">
        <f t="shared" si="7"/>
        <v>331183242.77745456</v>
      </c>
      <c r="AO50" s="443"/>
    </row>
    <row r="51" spans="10:41" s="479" customFormat="1" ht="15" thickBot="1" x14ac:dyDescent="0.4">
      <c r="J51" s="497"/>
      <c r="AG51" s="497"/>
      <c r="AI51" s="472" t="s">
        <v>403</v>
      </c>
      <c r="AJ51" s="475">
        <f>ABS(AJ48/AJ49)</f>
        <v>1.0718021609441646</v>
      </c>
      <c r="AK51" s="475">
        <f t="shared" ref="AK51:AN51" si="8">ABS(AK48/AK49)</f>
        <v>9.169411946807135E-2</v>
      </c>
      <c r="AL51" s="475">
        <f t="shared" si="8"/>
        <v>2.4357180726040464</v>
      </c>
      <c r="AM51" s="475">
        <f t="shared" si="8"/>
        <v>1.355108040559573</v>
      </c>
      <c r="AN51" s="476">
        <f t="shared" si="8"/>
        <v>7.9660426067640628</v>
      </c>
    </row>
    <row r="52" spans="10:41" s="485" customFormat="1" ht="15.5" x14ac:dyDescent="0.35">
      <c r="J52" s="517"/>
      <c r="AG52" s="517"/>
      <c r="AI52" s="546" t="s">
        <v>404</v>
      </c>
      <c r="AJ52" s="546"/>
      <c r="AK52" s="546"/>
      <c r="AL52" s="546"/>
      <c r="AM52" s="546"/>
      <c r="AN52" s="546"/>
    </row>
  </sheetData>
  <mergeCells count="8">
    <mergeCell ref="AI2:AK2"/>
    <mergeCell ref="AL2:AO2"/>
    <mergeCell ref="AI3:AQ3"/>
    <mergeCell ref="B5:F5"/>
    <mergeCell ref="AI52:AN52"/>
    <mergeCell ref="D18:G18"/>
    <mergeCell ref="D19:G19"/>
    <mergeCell ref="D20:G20"/>
  </mergeCells>
  <pageMargins left="0.25" right="0.25" top="0.75" bottom="0.75" header="0.3" footer="0.3"/>
  <pageSetup scale="61" orientation="landscape" r:id="rId1"/>
  <headerFooter>
    <oddHeader>&amp;L&amp;"Garamond,Regular"&amp;12Northern States Power Company
TEP Cost-Benefit Analysis&amp;R&amp;"Garamond,Regular"&amp;12Docket No. E002/M-23-452
2023 Integrated Distribution Plan
Appendix H12 - Page &amp;P of &amp;N</oddHead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B876E-F107-4D02-908A-AF7BAE9E39F8}">
  <sheetPr>
    <tabColor theme="9" tint="0.79998168889431442"/>
    <pageSetUpPr fitToPage="1"/>
  </sheetPr>
  <dimension ref="A1:AQ52"/>
  <sheetViews>
    <sheetView view="pageLayout" zoomScaleNormal="80" workbookViewId="0">
      <selection activeCell="AJ1" sqref="AJ1"/>
    </sheetView>
  </sheetViews>
  <sheetFormatPr defaultRowHeight="14.5" x14ac:dyDescent="0.35"/>
  <cols>
    <col min="1" max="1" width="0.1796875" customWidth="1"/>
    <col min="2" max="2" width="27.7265625" hidden="1" customWidth="1"/>
    <col min="3" max="3" width="14.453125" hidden="1" customWidth="1"/>
    <col min="4" max="4" width="13.54296875" hidden="1" customWidth="1"/>
    <col min="5" max="5" width="16.7265625" hidden="1" customWidth="1"/>
    <col min="6" max="6" width="12.26953125" hidden="1" customWidth="1"/>
    <col min="7" max="8" width="0.453125" hidden="1" customWidth="1"/>
    <col min="9" max="9" width="0.1796875" hidden="1" customWidth="1"/>
    <col min="10" max="10" width="12" style="342" hidden="1" customWidth="1"/>
    <col min="11" max="11" width="9.1796875" hidden="1" customWidth="1"/>
    <col min="12" max="12" width="8.81640625" hidden="1" customWidth="1"/>
    <col min="13" max="13" width="13.1796875" hidden="1" customWidth="1"/>
    <col min="14" max="16" width="18.7265625" hidden="1" customWidth="1"/>
    <col min="17" max="17" width="20.26953125" hidden="1" customWidth="1"/>
    <col min="18" max="18" width="10.54296875" hidden="1" customWidth="1"/>
    <col min="19" max="19" width="12.1796875" hidden="1" customWidth="1"/>
    <col min="20" max="20" width="17" hidden="1" customWidth="1"/>
    <col min="21" max="21" width="18.7265625" hidden="1" customWidth="1"/>
    <col min="22" max="22" width="19.54296875" hidden="1" customWidth="1"/>
    <col min="23" max="23" width="21.1796875" hidden="1" customWidth="1"/>
    <col min="24" max="24" width="30.26953125" hidden="1" customWidth="1"/>
    <col min="25" max="25" width="16" hidden="1" customWidth="1"/>
    <col min="26" max="26" width="21.7265625" hidden="1" customWidth="1"/>
    <col min="27" max="27" width="19.54296875" hidden="1" customWidth="1"/>
    <col min="28" max="28" width="22" hidden="1" customWidth="1"/>
    <col min="29" max="31" width="29.7265625" hidden="1" customWidth="1"/>
    <col min="32" max="32" width="19.453125" hidden="1" customWidth="1"/>
    <col min="33" max="33" width="8.6328125" style="342" hidden="1" customWidth="1"/>
    <col min="34" max="34" width="0.6328125" hidden="1" customWidth="1"/>
    <col min="35" max="35" width="68.26953125" bestFit="1" customWidth="1"/>
    <col min="36" max="38" width="14" bestFit="1" customWidth="1"/>
    <col min="39" max="39" width="15" bestFit="1" customWidth="1"/>
    <col min="40" max="40" width="14" bestFit="1" customWidth="1"/>
    <col min="42" max="42" width="45" bestFit="1" customWidth="1"/>
    <col min="43" max="43" width="24.1796875" bestFit="1" customWidth="1"/>
  </cols>
  <sheetData>
    <row r="1" spans="1:43" ht="31.5" customHeight="1" x14ac:dyDescent="0.35">
      <c r="B1" s="344" t="s">
        <v>298</v>
      </c>
      <c r="C1" s="316"/>
      <c r="D1" s="316"/>
      <c r="E1" s="316"/>
      <c r="F1" s="316"/>
      <c r="G1" s="316"/>
      <c r="J1" s="341"/>
      <c r="K1" s="349" t="s">
        <v>401</v>
      </c>
      <c r="L1" s="350"/>
      <c r="M1" t="s">
        <v>300</v>
      </c>
      <c r="N1" t="s">
        <v>301</v>
      </c>
      <c r="O1" t="s">
        <v>302</v>
      </c>
      <c r="P1" t="s">
        <v>303</v>
      </c>
      <c r="Q1" t="s">
        <v>304</v>
      </c>
      <c r="R1" t="s">
        <v>305</v>
      </c>
      <c r="S1" t="s">
        <v>306</v>
      </c>
      <c r="T1" t="s">
        <v>307</v>
      </c>
      <c r="U1" t="s">
        <v>308</v>
      </c>
      <c r="V1" t="s">
        <v>309</v>
      </c>
      <c r="W1" t="s">
        <v>310</v>
      </c>
      <c r="X1" t="s">
        <v>311</v>
      </c>
      <c r="Y1" t="s">
        <v>312</v>
      </c>
      <c r="Z1" t="s">
        <v>313</v>
      </c>
      <c r="AA1" t="s">
        <v>314</v>
      </c>
      <c r="AB1" t="s">
        <v>315</v>
      </c>
      <c r="AC1" t="s">
        <v>316</v>
      </c>
      <c r="AD1" t="s">
        <v>317</v>
      </c>
      <c r="AE1" t="s">
        <v>318</v>
      </c>
      <c r="AF1" t="s">
        <v>319</v>
      </c>
      <c r="AI1" s="518"/>
    </row>
    <row r="2" spans="1:43" s="519" customFormat="1" ht="14" customHeight="1" x14ac:dyDescent="0.4">
      <c r="B2" s="520" t="s">
        <v>320</v>
      </c>
      <c r="C2" s="520" t="s">
        <v>321</v>
      </c>
      <c r="D2" s="520" t="s">
        <v>322</v>
      </c>
      <c r="E2" s="520" t="s">
        <v>323</v>
      </c>
      <c r="F2" s="520" t="s">
        <v>324</v>
      </c>
      <c r="G2" s="520" t="s">
        <v>325</v>
      </c>
      <c r="H2" s="520" t="s">
        <v>326</v>
      </c>
      <c r="I2" s="520" t="s">
        <v>327</v>
      </c>
      <c r="J2" s="521"/>
      <c r="L2" s="519">
        <v>1</v>
      </c>
      <c r="M2" s="522">
        <v>3.5290793735399997</v>
      </c>
      <c r="N2" s="522">
        <v>0.46884845852660545</v>
      </c>
      <c r="O2" s="522">
        <v>4.3483299423975001</v>
      </c>
      <c r="P2" s="522">
        <v>0.53706282297747754</v>
      </c>
      <c r="Q2" s="522">
        <v>0.45121521102664958</v>
      </c>
      <c r="R2" s="522">
        <v>11.901883951230612</v>
      </c>
      <c r="S2" s="522">
        <v>11.901883951230612</v>
      </c>
      <c r="T2" s="522">
        <v>107.57087413075</v>
      </c>
      <c r="U2" s="522">
        <v>107.57087413075</v>
      </c>
      <c r="V2" s="522">
        <v>4.60217848200506E-2</v>
      </c>
      <c r="W2" s="522">
        <v>4.60217848200506E-2</v>
      </c>
      <c r="X2" s="522">
        <v>9.0139041734268316E-3</v>
      </c>
      <c r="Y2" s="522">
        <v>0.15350018139191424</v>
      </c>
      <c r="Z2" s="522">
        <v>0.15350018139191424</v>
      </c>
      <c r="AA2" s="523">
        <v>0.37667798468143887</v>
      </c>
      <c r="AB2" s="523">
        <v>19.592497222173233</v>
      </c>
      <c r="AC2" s="522">
        <v>120286</v>
      </c>
      <c r="AD2" s="523">
        <v>22.44</v>
      </c>
      <c r="AE2" s="522"/>
      <c r="AF2" s="524">
        <v>3.3000000000000002E-2</v>
      </c>
      <c r="AG2" s="525"/>
      <c r="AI2" s="540" t="s">
        <v>328</v>
      </c>
      <c r="AJ2" s="541"/>
      <c r="AK2" s="542"/>
      <c r="AL2" s="543" t="s">
        <v>329</v>
      </c>
      <c r="AM2" s="544"/>
      <c r="AN2" s="544"/>
      <c r="AO2" s="545"/>
      <c r="AP2" s="526">
        <v>2027</v>
      </c>
      <c r="AQ2" s="527" t="s">
        <v>330</v>
      </c>
    </row>
    <row r="3" spans="1:43" s="479" customFormat="1" x14ac:dyDescent="0.35">
      <c r="A3" s="479" t="s">
        <v>331</v>
      </c>
      <c r="B3" s="493">
        <f>'MN TEP CBA (2024)'!B3</f>
        <v>10</v>
      </c>
      <c r="C3" s="494">
        <f>'MN TEP CBA (2024)'!C3</f>
        <v>-3801.8922750851671</v>
      </c>
      <c r="D3" s="495">
        <f>'MN TEP CBA (2024)'!D3</f>
        <v>-0.53402916391465605</v>
      </c>
      <c r="E3" s="516">
        <f>'MN TEP CBA (2024)'!E3</f>
        <v>534.42851239669426</v>
      </c>
      <c r="F3" s="493">
        <f>'MN TEP CBA (2024)'!F3</f>
        <v>0</v>
      </c>
      <c r="G3" s="496">
        <f>'MN TEP CBA (2024)'!G3</f>
        <v>759.17707900000016</v>
      </c>
      <c r="H3" s="496">
        <f>'MN TEP CBA (2024)'!H3</f>
        <v>0</v>
      </c>
      <c r="I3" s="496">
        <f>'MN TEP CBA (2024)'!I3</f>
        <v>17000</v>
      </c>
      <c r="J3" s="497"/>
      <c r="L3" s="479">
        <v>2</v>
      </c>
      <c r="M3" s="480">
        <v>7.0017891346275212</v>
      </c>
      <c r="N3" s="480">
        <v>0.93134898588642567</v>
      </c>
      <c r="O3" s="480">
        <v>8.6272044694517689</v>
      </c>
      <c r="P3" s="480">
        <v>1.0668541325896042</v>
      </c>
      <c r="Q3" s="480">
        <v>0.89655096589269756</v>
      </c>
      <c r="R3" s="480">
        <v>23.462681457853932</v>
      </c>
      <c r="S3" s="480">
        <v>23.695464215005693</v>
      </c>
      <c r="T3" s="480">
        <v>211.33420071445408</v>
      </c>
      <c r="U3" s="480">
        <v>213.42353003966323</v>
      </c>
      <c r="V3" s="480">
        <v>8.9296904352418743E-2</v>
      </c>
      <c r="W3" s="480">
        <v>9.0248206916647505E-2</v>
      </c>
      <c r="X3" s="480">
        <v>1.764665772089961E-2</v>
      </c>
      <c r="Y3" s="480">
        <v>0.30215143484307871</v>
      </c>
      <c r="Z3" s="480">
        <v>0.30541918592296058</v>
      </c>
      <c r="AA3" s="481">
        <v>0.74237962152947579</v>
      </c>
      <c r="AB3" s="480"/>
      <c r="AC3" s="480"/>
      <c r="AD3" s="480"/>
      <c r="AE3" s="480"/>
      <c r="AF3" s="480"/>
      <c r="AG3" s="497"/>
      <c r="AI3" s="538" t="s">
        <v>408</v>
      </c>
      <c r="AJ3" s="538"/>
      <c r="AK3" s="538"/>
      <c r="AL3" s="538"/>
      <c r="AM3" s="538"/>
      <c r="AN3" s="538"/>
      <c r="AO3" s="538"/>
      <c r="AP3" s="538"/>
      <c r="AQ3" s="538"/>
    </row>
    <row r="4" spans="1:43" s="479" customFormat="1" x14ac:dyDescent="0.35">
      <c r="A4" s="479" t="s">
        <v>333</v>
      </c>
      <c r="B4" s="493">
        <f>'MN TEP CBA (2024)'!B4</f>
        <v>10</v>
      </c>
      <c r="C4" s="494">
        <f>'MN TEP CBA (2024)'!C4</f>
        <v>-7500</v>
      </c>
      <c r="D4" s="495">
        <f>'MN TEP CBA (2024)'!D4</f>
        <v>-1.0534803302048317</v>
      </c>
      <c r="E4" s="493">
        <f>'MN TEP CBA (2024)'!E4</f>
        <v>0</v>
      </c>
      <c r="F4" s="493">
        <f>'MN TEP CBA (2024)'!F4</f>
        <v>2500</v>
      </c>
      <c r="G4" s="496">
        <f>'MN TEP CBA (2024)'!G4</f>
        <v>5834.9999999999982</v>
      </c>
      <c r="H4" s="496">
        <f>'MN TEP CBA (2024)'!H4</f>
        <v>0</v>
      </c>
      <c r="I4" s="496">
        <f>'MN TEP CBA (2024)'!I4</f>
        <v>250000</v>
      </c>
      <c r="J4" s="497"/>
      <c r="L4" s="479">
        <v>3</v>
      </c>
      <c r="M4" s="480">
        <v>10.419029669134265</v>
      </c>
      <c r="N4" s="480">
        <v>1.3873368824092762</v>
      </c>
      <c r="O4" s="480">
        <v>12.837732985183294</v>
      </c>
      <c r="P4" s="480">
        <v>1.5891852664483439</v>
      </c>
      <c r="Q4" s="480">
        <v>1.3359224321214804</v>
      </c>
      <c r="R4" s="480">
        <v>34.692167439804614</v>
      </c>
      <c r="S4" s="480">
        <v>35.381726323427934</v>
      </c>
      <c r="T4" s="480">
        <v>311.42475060279645</v>
      </c>
      <c r="U4" s="480">
        <v>317.58541264509432</v>
      </c>
      <c r="V4" s="480">
        <v>0.12927266299676177</v>
      </c>
      <c r="W4" s="480">
        <v>0.13200083097514168</v>
      </c>
      <c r="X4" s="480">
        <v>2.5644512170036701E-2</v>
      </c>
      <c r="Y4" s="480">
        <v>0.44511581819278612</v>
      </c>
      <c r="Z4" s="480">
        <v>0.45473813205882013</v>
      </c>
      <c r="AA4" s="481">
        <v>1.0860245784964677</v>
      </c>
      <c r="AB4" s="480"/>
      <c r="AC4" s="480"/>
      <c r="AD4" s="480"/>
      <c r="AE4" s="480"/>
      <c r="AF4" s="480"/>
      <c r="AG4" s="497"/>
      <c r="AI4" s="418"/>
      <c r="AJ4" s="314"/>
      <c r="AK4" s="315"/>
      <c r="AL4" s="315" t="s">
        <v>334</v>
      </c>
      <c r="AM4" s="315"/>
      <c r="AN4" s="315"/>
      <c r="AO4" s="419"/>
      <c r="AP4" s="419"/>
      <c r="AQ4" s="419"/>
    </row>
    <row r="5" spans="1:43" s="479" customFormat="1" x14ac:dyDescent="0.35">
      <c r="B5" s="530"/>
      <c r="C5" s="530"/>
      <c r="D5" s="530"/>
      <c r="E5" s="530"/>
      <c r="F5" s="530"/>
      <c r="J5" s="497"/>
      <c r="L5" s="479">
        <v>4</v>
      </c>
      <c r="M5" s="480">
        <v>13.781686981163407</v>
      </c>
      <c r="N5" s="480">
        <v>1.8367562531050563</v>
      </c>
      <c r="O5" s="480">
        <v>16.981007173219204</v>
      </c>
      <c r="P5" s="480">
        <v>2.1039921972104731</v>
      </c>
      <c r="Q5" s="480">
        <v>1.7693450682463212</v>
      </c>
      <c r="R5" s="480">
        <v>45.599836685510361</v>
      </c>
      <c r="S5" s="480">
        <v>46.961646840544105</v>
      </c>
      <c r="T5" s="480">
        <v>407.97252433737606</v>
      </c>
      <c r="U5" s="480">
        <v>420.08352849061293</v>
      </c>
      <c r="V5" s="480">
        <v>0.16690592033929946</v>
      </c>
      <c r="W5" s="480">
        <v>0.17217088366380828</v>
      </c>
      <c r="X5" s="480">
        <v>3.304566335783865E-2</v>
      </c>
      <c r="Y5" s="480">
        <v>0.58185340264530905</v>
      </c>
      <c r="Z5" s="480">
        <v>0.60069296987644016</v>
      </c>
      <c r="AA5" s="481">
        <v>1.4086787486168997</v>
      </c>
      <c r="AB5" s="480"/>
      <c r="AC5" s="480"/>
      <c r="AD5" s="480"/>
      <c r="AE5" s="480"/>
      <c r="AF5" s="480"/>
      <c r="AG5" s="497"/>
      <c r="AI5" s="418"/>
      <c r="AJ5" s="315" t="s">
        <v>335</v>
      </c>
      <c r="AK5" s="315" t="s">
        <v>336</v>
      </c>
      <c r="AL5" s="315" t="s">
        <v>337</v>
      </c>
      <c r="AM5" s="315" t="s">
        <v>338</v>
      </c>
      <c r="AN5" s="315" t="s">
        <v>339</v>
      </c>
      <c r="AO5" s="419"/>
    </row>
    <row r="6" spans="1:43" s="479" customFormat="1" x14ac:dyDescent="0.35">
      <c r="B6" s="498"/>
      <c r="C6" s="498"/>
      <c r="D6" s="498"/>
      <c r="E6" s="498"/>
      <c r="F6" s="498"/>
      <c r="J6" s="497"/>
      <c r="L6" s="479">
        <v>5</v>
      </c>
      <c r="M6" s="480">
        <v>17.090632922768076</v>
      </c>
      <c r="N6" s="480">
        <v>2.2795614205602837</v>
      </c>
      <c r="O6" s="480">
        <v>21.058101279839246</v>
      </c>
      <c r="P6" s="480">
        <v>2.6112226016995259</v>
      </c>
      <c r="Q6" s="480">
        <v>2.1966645294373288</v>
      </c>
      <c r="R6" s="480">
        <v>56.194911879953715</v>
      </c>
      <c r="S6" s="480">
        <v>58.436193443951765</v>
      </c>
      <c r="T6" s="480">
        <v>501.10292099822271</v>
      </c>
      <c r="U6" s="480">
        <v>520.94445274711791</v>
      </c>
      <c r="V6" s="480">
        <v>0.19926854389219362</v>
      </c>
      <c r="W6" s="480">
        <v>0.20747439011408197</v>
      </c>
      <c r="X6" s="480">
        <v>3.7918871207799576E-2</v>
      </c>
      <c r="Y6" s="480">
        <v>0.71266347764928184</v>
      </c>
      <c r="Z6" s="480">
        <v>0.74339012541192062</v>
      </c>
      <c r="AA6" s="481">
        <v>1.6243002415008692</v>
      </c>
      <c r="AB6" s="480"/>
      <c r="AC6" s="480"/>
      <c r="AD6" s="480"/>
      <c r="AE6" s="480"/>
      <c r="AF6" s="480"/>
      <c r="AG6" s="497"/>
      <c r="AI6" s="418"/>
      <c r="AJ6" s="315" t="s">
        <v>340</v>
      </c>
      <c r="AK6" s="315" t="s">
        <v>340</v>
      </c>
      <c r="AL6" s="315" t="s">
        <v>340</v>
      </c>
      <c r="AM6" s="315" t="s">
        <v>340</v>
      </c>
      <c r="AN6" s="315" t="s">
        <v>340</v>
      </c>
      <c r="AO6" s="419"/>
    </row>
    <row r="7" spans="1:43" s="479" customFormat="1" ht="15" thickBot="1" x14ac:dyDescent="0.4">
      <c r="B7" s="480"/>
      <c r="C7" s="480"/>
      <c r="D7" s="480"/>
      <c r="E7" s="480"/>
      <c r="F7" s="480"/>
      <c r="J7" s="497"/>
      <c r="L7" s="479">
        <v>6</v>
      </c>
      <c r="M7" s="480">
        <v>20.346725420000553</v>
      </c>
      <c r="N7" s="480">
        <v>2.7157163291637083</v>
      </c>
      <c r="O7" s="480">
        <v>25.070072392500691</v>
      </c>
      <c r="P7" s="480">
        <v>3.1108351784501576</v>
      </c>
      <c r="Q7" s="480">
        <v>2.6178284348808116</v>
      </c>
      <c r="R7" s="480">
        <v>66.486351402664113</v>
      </c>
      <c r="S7" s="480">
        <v>69.806325005663368</v>
      </c>
      <c r="T7" s="480">
        <v>590.93690107579971</v>
      </c>
      <c r="U7" s="480">
        <v>620.19433610310762</v>
      </c>
      <c r="V7" s="480">
        <v>0.2300352761512377</v>
      </c>
      <c r="W7" s="480">
        <v>0.24177477742767348</v>
      </c>
      <c r="X7" s="480">
        <v>4.2499824523502261E-2</v>
      </c>
      <c r="Y7" s="480">
        <v>0.83865001269515416</v>
      </c>
      <c r="Z7" s="480">
        <v>0.88384660652230862</v>
      </c>
      <c r="AA7" s="481">
        <v>1.8300810623569237</v>
      </c>
      <c r="AB7" s="480"/>
      <c r="AC7" s="480"/>
      <c r="AD7" s="480"/>
      <c r="AE7" s="480"/>
      <c r="AF7" s="480"/>
      <c r="AG7" s="497"/>
      <c r="AI7" s="418"/>
      <c r="AJ7" s="315" t="s">
        <v>341</v>
      </c>
      <c r="AK7" s="315" t="s">
        <v>341</v>
      </c>
      <c r="AL7" s="315" t="s">
        <v>341</v>
      </c>
      <c r="AM7" s="315" t="s">
        <v>341</v>
      </c>
      <c r="AN7" s="315" t="s">
        <v>341</v>
      </c>
      <c r="AO7" s="419"/>
      <c r="AP7" s="420"/>
      <c r="AQ7" s="419"/>
    </row>
    <row r="8" spans="1:43" s="479" customFormat="1" x14ac:dyDescent="0.35">
      <c r="B8" s="499" t="s">
        <v>342</v>
      </c>
      <c r="C8" s="499">
        <v>2024</v>
      </c>
      <c r="D8" s="499">
        <v>2025</v>
      </c>
      <c r="E8" s="499">
        <v>2026</v>
      </c>
      <c r="F8" s="499">
        <v>2027</v>
      </c>
      <c r="G8" s="499" t="s">
        <v>27</v>
      </c>
      <c r="J8" s="497"/>
      <c r="L8" s="479">
        <v>7</v>
      </c>
      <c r="M8" s="480">
        <v>23.550808695350806</v>
      </c>
      <c r="N8" s="480">
        <v>3.1451939769695123</v>
      </c>
      <c r="O8" s="480">
        <v>29.017960713914398</v>
      </c>
      <c r="P8" s="480">
        <v>3.6027989969111776</v>
      </c>
      <c r="Q8" s="480">
        <v>3.0327939789499827</v>
      </c>
      <c r="R8" s="480">
        <v>76.482856902233635</v>
      </c>
      <c r="S8" s="480">
        <v>81.072991672234522</v>
      </c>
      <c r="T8" s="480">
        <v>677.59114357803639</v>
      </c>
      <c r="U8" s="480">
        <v>717.85891154489229</v>
      </c>
      <c r="V8" s="480">
        <v>0.25807618002906874</v>
      </c>
      <c r="W8" s="480">
        <v>0.27372347739780656</v>
      </c>
      <c r="X8" s="480">
        <v>4.6419397626611597E-2</v>
      </c>
      <c r="Y8" s="480">
        <v>0.96005852128926994</v>
      </c>
      <c r="Z8" s="480">
        <v>1.0221746729710266</v>
      </c>
      <c r="AA8" s="481">
        <v>2.0088894951755236</v>
      </c>
      <c r="AB8" s="480"/>
      <c r="AC8" s="480"/>
      <c r="AD8" s="480"/>
      <c r="AE8" s="480"/>
      <c r="AF8" s="480"/>
      <c r="AG8" s="497"/>
      <c r="AI8" s="421" t="s">
        <v>343</v>
      </c>
      <c r="AJ8" s="421"/>
      <c r="AK8" s="421"/>
      <c r="AL8" s="421"/>
      <c r="AM8" s="421"/>
      <c r="AN8" s="421"/>
      <c r="AP8" s="422"/>
      <c r="AQ8" s="423"/>
    </row>
    <row r="9" spans="1:43" s="479" customFormat="1" ht="17.5" customHeight="1" x14ac:dyDescent="0.35">
      <c r="B9" s="500" t="s">
        <v>344</v>
      </c>
      <c r="C9" s="501">
        <f>'MN TEP CBA (2024)'!C9</f>
        <v>9915209.7284542732</v>
      </c>
      <c r="D9" s="501">
        <f>'MN TEP CBA (2024)'!D9</f>
        <v>16078387.465972796</v>
      </c>
      <c r="E9" s="501">
        <f>'MN TEP CBA (2024)'!E9</f>
        <v>3248081.5672741234</v>
      </c>
      <c r="F9" s="501">
        <f>'MN TEP CBA (2024)'!F9</f>
        <v>4484372.319364286</v>
      </c>
      <c r="G9" s="501">
        <f>SUM(C9:F9)</f>
        <v>33726051.081065476</v>
      </c>
      <c r="J9" s="497"/>
      <c r="L9" s="479">
        <v>8</v>
      </c>
      <c r="M9" s="480">
        <v>26.703713486632058</v>
      </c>
      <c r="N9" s="480">
        <v>3.5679758740402971</v>
      </c>
      <c r="O9" s="480">
        <v>32.902789831743085</v>
      </c>
      <c r="P9" s="480">
        <v>4.0870928769810089</v>
      </c>
      <c r="Q9" s="480">
        <v>3.4415273728875313</v>
      </c>
      <c r="R9" s="480">
        <v>86.192880653760838</v>
      </c>
      <c r="S9" s="480">
        <v>92.237134944163103</v>
      </c>
      <c r="T9" s="480">
        <v>761.17819757644554</v>
      </c>
      <c r="U9" s="480">
        <v>813.96350102850715</v>
      </c>
      <c r="V9" s="480">
        <v>0.28786629123753188</v>
      </c>
      <c r="W9" s="480">
        <v>0.3084112838315054</v>
      </c>
      <c r="X9" s="480">
        <v>5.1834307976648529E-2</v>
      </c>
      <c r="Y9" s="480">
        <v>1.0770819516886103</v>
      </c>
      <c r="Z9" s="480">
        <v>1.1584375446835207</v>
      </c>
      <c r="AA9" s="481">
        <v>2.2598264835528976</v>
      </c>
      <c r="AB9" s="480"/>
      <c r="AC9" s="480"/>
      <c r="AD9" s="480"/>
      <c r="AE9" s="480"/>
      <c r="AF9" s="480"/>
      <c r="AG9" s="497"/>
      <c r="AI9" s="515" t="s">
        <v>345</v>
      </c>
      <c r="AJ9" s="424" t="s">
        <v>346</v>
      </c>
      <c r="AK9" s="425">
        <f>-F9</f>
        <v>-4484372.319364286</v>
      </c>
      <c r="AL9" s="425">
        <f>AK9</f>
        <v>-4484372.319364286</v>
      </c>
      <c r="AM9" s="425">
        <f>AL9</f>
        <v>-4484372.319364286</v>
      </c>
      <c r="AN9" s="425">
        <f>AM9</f>
        <v>-4484372.319364286</v>
      </c>
      <c r="AP9" s="426"/>
      <c r="AQ9" s="427"/>
    </row>
    <row r="10" spans="1:43" s="479" customFormat="1" x14ac:dyDescent="0.35">
      <c r="B10" s="500" t="s">
        <v>347</v>
      </c>
      <c r="C10" s="501">
        <f>'MN TEP CBA (2024)'!C10</f>
        <v>3796708.1989438348</v>
      </c>
      <c r="D10" s="501">
        <f>'MN TEP CBA (2024)'!D10</f>
        <v>5681556.6292189863</v>
      </c>
      <c r="E10" s="501">
        <f>'MN TEP CBA (2024)'!E10</f>
        <v>3574045.3521351111</v>
      </c>
      <c r="F10" s="501">
        <f>'MN TEP CBA (2024)'!F10</f>
        <v>4496479.5234320108</v>
      </c>
      <c r="G10" s="501">
        <f t="shared" ref="G10:G11" si="0">SUM(C10:F10)</f>
        <v>17548789.703729942</v>
      </c>
      <c r="J10" s="497"/>
      <c r="L10" s="479">
        <v>9</v>
      </c>
      <c r="M10" s="480">
        <v>29.806257262370096</v>
      </c>
      <c r="N10" s="480">
        <v>3.9840515261578222</v>
      </c>
      <c r="O10" s="480">
        <v>36.72556698399174</v>
      </c>
      <c r="P10" s="480">
        <v>4.5637047976017362</v>
      </c>
      <c r="Q10" s="480">
        <v>3.8440033123881765</v>
      </c>
      <c r="R10" s="480">
        <v>95.624632705443545</v>
      </c>
      <c r="S10" s="480">
        <v>103.29968775456591</v>
      </c>
      <c r="T10" s="480">
        <v>841.80662838815829</v>
      </c>
      <c r="U10" s="480">
        <v>908.53302204505553</v>
      </c>
      <c r="V10" s="480">
        <v>0.31608250240344238</v>
      </c>
      <c r="W10" s="480">
        <v>0.34198867420320489</v>
      </c>
      <c r="X10" s="480">
        <v>5.7550727265764039E-2</v>
      </c>
      <c r="Y10" s="480">
        <v>1.1899494475308194</v>
      </c>
      <c r="Z10" s="480">
        <v>1.2927502610821233</v>
      </c>
      <c r="AA10" s="481">
        <v>2.5290057264929242</v>
      </c>
      <c r="AB10" s="480"/>
      <c r="AC10" s="480"/>
      <c r="AD10" s="480"/>
      <c r="AE10" s="480"/>
      <c r="AF10" s="480"/>
      <c r="AG10" s="497"/>
      <c r="AI10" s="428" t="s">
        <v>348</v>
      </c>
      <c r="AJ10" s="424" t="s">
        <v>346</v>
      </c>
      <c r="AK10" s="425" cm="1">
        <f t="array" ref="AK10">INDEX($T$2:$T$21,$B$3)*$AQ$24</f>
        <v>-13431287.783813244</v>
      </c>
      <c r="AL10" s="429">
        <f>AK10</f>
        <v>-13431287.783813244</v>
      </c>
      <c r="AM10" s="425" cm="1">
        <f t="array" ref="AM10">INDEX($U$2:$U$21,$B$3)*$AQ$24</f>
        <v>-14629127.825092006</v>
      </c>
      <c r="AN10" s="429">
        <f>AM10</f>
        <v>-14629127.825092006</v>
      </c>
      <c r="AP10" s="426"/>
      <c r="AQ10" s="430"/>
    </row>
    <row r="11" spans="1:43" s="479" customFormat="1" x14ac:dyDescent="0.35">
      <c r="B11" s="500" t="s">
        <v>27</v>
      </c>
      <c r="C11" s="501">
        <f>'MN TEP CBA (2024)'!C11</f>
        <v>13711917.927398108</v>
      </c>
      <c r="D11" s="501">
        <f>'MN TEP CBA (2024)'!D11</f>
        <v>21759944.095191784</v>
      </c>
      <c r="E11" s="501">
        <f>'MN TEP CBA (2024)'!E11</f>
        <v>6822126.9194092341</v>
      </c>
      <c r="F11" s="501">
        <f>'MN TEP CBA (2024)'!F11</f>
        <v>8980851.8427962959</v>
      </c>
      <c r="G11" s="501">
        <f t="shared" si="0"/>
        <v>51274840.784795418</v>
      </c>
      <c r="J11" s="497"/>
      <c r="L11" s="479">
        <v>10</v>
      </c>
      <c r="M11" s="480">
        <v>32.859244433752202</v>
      </c>
      <c r="N11" s="480">
        <v>4.3934179428334899</v>
      </c>
      <c r="O11" s="480">
        <v>40.48728332015898</v>
      </c>
      <c r="P11" s="480">
        <v>5.0326313331883563</v>
      </c>
      <c r="Q11" s="480">
        <v>4.2402044699961969</v>
      </c>
      <c r="R11" s="480">
        <v>104.78608782036329</v>
      </c>
      <c r="S11" s="480">
        <v>114.2615745471393</v>
      </c>
      <c r="T11" s="480">
        <v>919.58115858374185</v>
      </c>
      <c r="U11" s="480">
        <v>1001.5919940811847</v>
      </c>
      <c r="V11" s="480">
        <v>0.34456085937512498</v>
      </c>
      <c r="W11" s="480">
        <v>0.37662299720329423</v>
      </c>
      <c r="X11" s="480">
        <v>6.3989652435008981E-2</v>
      </c>
      <c r="Y11" s="480">
        <v>1.298707647650261</v>
      </c>
      <c r="Z11" s="480">
        <v>1.4250179560053442</v>
      </c>
      <c r="AA11" s="481">
        <v>2.8371761536536906</v>
      </c>
      <c r="AB11" s="480"/>
      <c r="AC11" s="480"/>
      <c r="AD11" s="480"/>
      <c r="AE11" s="480"/>
      <c r="AF11" s="480"/>
      <c r="AG11" s="497"/>
      <c r="AI11" s="428" t="s">
        <v>349</v>
      </c>
      <c r="AJ11" s="424" t="s">
        <v>346</v>
      </c>
      <c r="AK11" s="425" cm="1">
        <f t="array" ref="AK11">INDEX($R$2:$R$21,$B$3)*$AQ$24</f>
        <v>-1530492.5379536916</v>
      </c>
      <c r="AL11" s="429">
        <f t="shared" ref="AL11:AL13" si="1">AK11</f>
        <v>-1530492.5379536916</v>
      </c>
      <c r="AM11" s="425" cm="1">
        <f t="array" ref="AM11">INDEX($S$2:$S$21,$B$3)*$AQ$24</f>
        <v>-1668890.3160410963</v>
      </c>
      <c r="AN11" s="429">
        <f t="shared" ref="AN11:AN13" si="2">AM11</f>
        <v>-1668890.3160410963</v>
      </c>
      <c r="AP11" s="426"/>
      <c r="AQ11" s="430"/>
    </row>
    <row r="12" spans="1:43" s="479" customFormat="1" x14ac:dyDescent="0.35">
      <c r="J12" s="497"/>
      <c r="L12" s="479">
        <v>11</v>
      </c>
      <c r="M12" s="480">
        <v>35.863466563190649</v>
      </c>
      <c r="N12" s="480">
        <v>4.7960791685929198</v>
      </c>
      <c r="O12" s="480">
        <v>44.188914158217059</v>
      </c>
      <c r="P12" s="480">
        <v>5.4938771167183438</v>
      </c>
      <c r="Q12" s="480">
        <v>4.6301210112758131</v>
      </c>
      <c r="R12" s="480">
        <v>113.6849922193307</v>
      </c>
      <c r="S12" s="480">
        <v>125.12371135341049</v>
      </c>
      <c r="T12" s="480">
        <v>994.60280400394561</v>
      </c>
      <c r="U12" s="480">
        <v>1093.1645449763689</v>
      </c>
      <c r="V12" s="480">
        <v>0.37104961085286281</v>
      </c>
      <c r="W12" s="480">
        <v>0.40954579937727059</v>
      </c>
      <c r="X12" s="480">
        <v>6.9866232571273293E-2</v>
      </c>
      <c r="Y12" s="480">
        <v>1.4036214568486121</v>
      </c>
      <c r="Z12" s="480">
        <v>1.5554150639422182</v>
      </c>
      <c r="AA12" s="481">
        <v>3.1231159775800834</v>
      </c>
      <c r="AB12" s="480"/>
      <c r="AC12" s="480"/>
      <c r="AD12" s="480"/>
      <c r="AE12" s="480"/>
      <c r="AF12" s="480"/>
      <c r="AG12" s="497"/>
      <c r="AI12" s="428" t="s">
        <v>350</v>
      </c>
      <c r="AJ12" s="424" t="s">
        <v>346</v>
      </c>
      <c r="AK12" s="425" cm="1">
        <f t="array" ref="AK12">INDEX($V$2:$V$21,$B$3)*$AQ$26</f>
        <v>-35225719.974887319</v>
      </c>
      <c r="AL12" s="429">
        <f t="shared" si="1"/>
        <v>-35225719.974887319</v>
      </c>
      <c r="AM12" s="425" cm="1">
        <f t="array" ref="AM12">INDEX($W$2:$W$21,$B$3)*$AQ$26</f>
        <v>-38503549.879826516</v>
      </c>
      <c r="AN12" s="429">
        <f t="shared" si="2"/>
        <v>-38503549.879826516</v>
      </c>
      <c r="AP12" s="431"/>
      <c r="AQ12" s="432"/>
    </row>
    <row r="13" spans="1:43" s="479" customFormat="1" x14ac:dyDescent="0.35">
      <c r="B13" s="500" t="str">
        <f>'MN TEP CBA (2024)'!B13</f>
        <v>Incremental EVs</v>
      </c>
      <c r="C13" s="494">
        <f>'MN TEP CBA (2024)'!C13</f>
        <v>13099</v>
      </c>
      <c r="D13" s="494">
        <f>'MN TEP CBA (2024)'!D13</f>
        <v>14310</v>
      </c>
      <c r="E13" s="494">
        <f>'MN TEP CBA (2024)'!E13</f>
        <v>18832</v>
      </c>
      <c r="F13" s="494">
        <f>'MN TEP CBA (2024)'!F13</f>
        <v>24738</v>
      </c>
      <c r="G13" s="502">
        <f>'MN TEP CBA (2024)'!G13</f>
        <v>70979</v>
      </c>
      <c r="J13" s="497"/>
      <c r="L13" s="479">
        <v>12</v>
      </c>
      <c r="M13" s="480">
        <v>38.819702569554806</v>
      </c>
      <c r="N13" s="480">
        <v>5.1920458365496822</v>
      </c>
      <c r="O13" s="480">
        <v>47.831419237487189</v>
      </c>
      <c r="P13" s="480">
        <v>5.9474543283532988</v>
      </c>
      <c r="Q13" s="480">
        <v>5.0137501337535708</v>
      </c>
      <c r="R13" s="480">
        <v>122.32887013049317</v>
      </c>
      <c r="S13" s="480">
        <v>135.88700586928576</v>
      </c>
      <c r="T13" s="480">
        <v>1066.9690049620374</v>
      </c>
      <c r="U13" s="480">
        <v>1183.2744171786485</v>
      </c>
      <c r="V13" s="480">
        <v>0.39650574751870804</v>
      </c>
      <c r="W13" s="480">
        <v>0.44188068491835514</v>
      </c>
      <c r="X13" s="480">
        <v>7.516121123322364E-2</v>
      </c>
      <c r="Y13" s="480">
        <v>1.5049705954689041</v>
      </c>
      <c r="Z13" s="480">
        <v>1.6841507334584644</v>
      </c>
      <c r="AA13" s="481">
        <v>3.3851124109189028</v>
      </c>
      <c r="AB13" s="480"/>
      <c r="AC13" s="480"/>
      <c r="AD13" s="480"/>
      <c r="AE13" s="480"/>
      <c r="AF13" s="480"/>
      <c r="AG13" s="497"/>
      <c r="AI13" s="428" t="s">
        <v>352</v>
      </c>
      <c r="AJ13" s="424" t="s">
        <v>346</v>
      </c>
      <c r="AK13" s="425">
        <f>SUM(AK10:AK12)*0.02</f>
        <v>-1003750.0059330851</v>
      </c>
      <c r="AL13" s="429">
        <f t="shared" si="1"/>
        <v>-1003750.0059330851</v>
      </c>
      <c r="AM13" s="425">
        <f>SUM(AM10:AM12)*0.02</f>
        <v>-1096031.3604191924</v>
      </c>
      <c r="AN13" s="429">
        <f t="shared" si="2"/>
        <v>-1096031.3604191924</v>
      </c>
      <c r="AP13" s="426"/>
      <c r="AQ13" s="433"/>
    </row>
    <row r="14" spans="1:43" s="479" customFormat="1" ht="15" thickBot="1" x14ac:dyDescent="0.4">
      <c r="B14" s="500" t="str">
        <f>'MN TEP CBA (2024)'!B14</f>
        <v>School Bus Participants</v>
      </c>
      <c r="C14" s="493">
        <f>'MN TEP CBA (2024)'!C14</f>
        <v>0</v>
      </c>
      <c r="D14" s="493">
        <f>'MN TEP CBA (2024)'!D14</f>
        <v>0</v>
      </c>
      <c r="E14" s="493">
        <f>'MN TEP CBA (2024)'!E14</f>
        <v>2</v>
      </c>
      <c r="F14" s="493">
        <f>'MN TEP CBA (2024)'!F14</f>
        <v>0</v>
      </c>
      <c r="G14" s="493">
        <f>'MN TEP CBA (2024)'!G14</f>
        <v>2</v>
      </c>
      <c r="J14" s="497"/>
      <c r="L14" s="479">
        <v>13</v>
      </c>
      <c r="M14" s="480">
        <v>41.728718930125154</v>
      </c>
      <c r="N14" s="480">
        <v>5.5813347433224463</v>
      </c>
      <c r="O14" s="480">
        <v>51.415742967475651</v>
      </c>
      <c r="P14" s="480">
        <v>6.3933822085093404</v>
      </c>
      <c r="Q14" s="480">
        <v>5.3910956276715378</v>
      </c>
      <c r="R14" s="480">
        <v>130.72503015124278</v>
      </c>
      <c r="S14" s="480">
        <v>146.55235753090236</v>
      </c>
      <c r="T14" s="480">
        <v>1136.7737528021403</v>
      </c>
      <c r="U14" s="480">
        <v>1271.9449739004463</v>
      </c>
      <c r="V14" s="480">
        <v>0.4210271465388325</v>
      </c>
      <c r="W14" s="480">
        <v>0.47371295484455739</v>
      </c>
      <c r="X14" s="480">
        <v>8.0215808595501148E-2</v>
      </c>
      <c r="Y14" s="480">
        <v>1.6026600906383313</v>
      </c>
      <c r="Z14" s="480">
        <v>1.8109656177411906</v>
      </c>
      <c r="AA14" s="481">
        <v>3.6395049277789662</v>
      </c>
      <c r="AB14" s="480"/>
      <c r="AC14" s="480"/>
      <c r="AD14" s="480"/>
      <c r="AE14" s="480"/>
      <c r="AF14" s="480"/>
      <c r="AG14" s="497"/>
      <c r="AI14" s="434" t="s">
        <v>354</v>
      </c>
      <c r="AJ14" s="435" t="s">
        <v>346</v>
      </c>
      <c r="AK14" s="436">
        <f>SUM(AK9:AK13)</f>
        <v>-55675622.621951625</v>
      </c>
      <c r="AL14" s="436">
        <f>SUM(AL9:AL13)</f>
        <v>-55675622.621951625</v>
      </c>
      <c r="AM14" s="436">
        <f>SUM(AM9:AM13)</f>
        <v>-60381971.700743102</v>
      </c>
      <c r="AN14" s="436">
        <f>SUM(AN9:AN13)</f>
        <v>-60381971.700743102</v>
      </c>
      <c r="AP14" s="431"/>
      <c r="AQ14" s="437"/>
    </row>
    <row r="15" spans="1:43" s="479" customFormat="1" x14ac:dyDescent="0.35">
      <c r="B15" s="500" t="str">
        <f>'MN TEP CBA (2024)'!B15</f>
        <v>EVSI Program Participants</v>
      </c>
      <c r="C15" s="502">
        <f>'MN TEP CBA (2024)'!C15</f>
        <v>756</v>
      </c>
      <c r="D15" s="502">
        <f>'MN TEP CBA (2024)'!D15</f>
        <v>1352</v>
      </c>
      <c r="E15" s="502">
        <f>'MN TEP CBA (2024)'!E15</f>
        <v>1902</v>
      </c>
      <c r="F15" s="502">
        <f>'MN TEP CBA (2024)'!F15</f>
        <v>2652</v>
      </c>
      <c r="G15" s="502">
        <f>'MN TEP CBA (2024)'!G15</f>
        <v>6662</v>
      </c>
      <c r="J15" s="497"/>
      <c r="L15" s="479">
        <v>14</v>
      </c>
      <c r="M15" s="480">
        <v>44.591269879321437</v>
      </c>
      <c r="N15" s="480">
        <v>5.9640326770047327</v>
      </c>
      <c r="O15" s="480">
        <v>54.942814672735359</v>
      </c>
      <c r="P15" s="480">
        <v>6.8317601723763</v>
      </c>
      <c r="Q15" s="480">
        <v>5.7621674576283297</v>
      </c>
      <c r="R15" s="480">
        <v>138.88057142780312</v>
      </c>
      <c r="S15" s="480">
        <v>157.12065758978983</v>
      </c>
      <c r="T15" s="480">
        <v>1204.1077119779463</v>
      </c>
      <c r="U15" s="480">
        <v>1359.1992051760585</v>
      </c>
      <c r="V15" s="480">
        <v>0.4442729529904772</v>
      </c>
      <c r="W15" s="480">
        <v>0.50455268094740813</v>
      </c>
      <c r="X15" s="480">
        <v>8.5091287394854068E-2</v>
      </c>
      <c r="Y15" s="480">
        <v>1.6959793094021693</v>
      </c>
      <c r="Z15" s="480">
        <v>1.9347702769942643</v>
      </c>
      <c r="AA15" s="481">
        <v>3.8891085875478453</v>
      </c>
      <c r="AB15" s="480"/>
      <c r="AC15" s="480"/>
      <c r="AD15" s="480"/>
      <c r="AE15" s="480"/>
      <c r="AF15" s="480"/>
      <c r="AG15" s="497"/>
      <c r="AI15" s="421"/>
      <c r="AJ15" s="438"/>
      <c r="AK15" s="438"/>
      <c r="AL15" s="438"/>
      <c r="AM15" s="438"/>
      <c r="AN15" s="438"/>
      <c r="AP15" s="431"/>
      <c r="AQ15" s="439"/>
    </row>
    <row r="16" spans="1:43" s="479" customFormat="1" x14ac:dyDescent="0.35">
      <c r="B16" s="500" t="str">
        <f>'MN TEP CBA (2024)'!B16</f>
        <v>EVSE Program Participants</v>
      </c>
      <c r="C16" s="502">
        <f>'MN TEP CBA (2024)'!C16</f>
        <v>605</v>
      </c>
      <c r="D16" s="502">
        <f>'MN TEP CBA (2024)'!D16</f>
        <v>1082</v>
      </c>
      <c r="E16" s="502">
        <f>'MN TEP CBA (2024)'!E16</f>
        <v>1383</v>
      </c>
      <c r="F16" s="502">
        <f>'MN TEP CBA (2024)'!F16</f>
        <v>2040</v>
      </c>
      <c r="G16" s="502">
        <f>'MN TEP CBA (2024)'!G16</f>
        <v>5110</v>
      </c>
      <c r="J16" s="497"/>
      <c r="L16" s="479">
        <v>15</v>
      </c>
      <c r="M16" s="480">
        <v>47.408097604256596</v>
      </c>
      <c r="N16" s="480">
        <v>6.3401012822674616</v>
      </c>
      <c r="O16" s="480">
        <v>58.413548833816179</v>
      </c>
      <c r="P16" s="480">
        <v>7.2625442841771983</v>
      </c>
      <c r="Q16" s="480">
        <v>6.1269813642216553</v>
      </c>
      <c r="R16" s="480">
        <v>146.80238965772071</v>
      </c>
      <c r="S16" s="480">
        <v>167.59278918734765</v>
      </c>
      <c r="T16" s="480">
        <v>1269.0583378103688</v>
      </c>
      <c r="U16" s="480">
        <v>1445.0597338223895</v>
      </c>
      <c r="V16" s="480">
        <v>0.46627470994456327</v>
      </c>
      <c r="W16" s="480">
        <v>0.53438361060727324</v>
      </c>
      <c r="X16" s="480">
        <v>9.0080045163434042E-2</v>
      </c>
      <c r="Y16" s="480">
        <v>1.7854737554938862</v>
      </c>
      <c r="Z16" s="480">
        <v>2.0561107013922708</v>
      </c>
      <c r="AA16" s="481">
        <v>4.1490138850259841</v>
      </c>
      <c r="AB16" s="480"/>
      <c r="AC16" s="480"/>
      <c r="AD16" s="480"/>
      <c r="AE16" s="480"/>
      <c r="AF16" s="480"/>
      <c r="AG16" s="497"/>
      <c r="AI16" s="428"/>
      <c r="AJ16" s="424"/>
      <c r="AK16" s="424"/>
      <c r="AL16" s="424"/>
      <c r="AM16" s="429"/>
      <c r="AN16" s="429"/>
      <c r="AP16" s="431"/>
      <c r="AQ16" s="440"/>
    </row>
    <row r="17" spans="1:43" s="479" customFormat="1" x14ac:dyDescent="0.35">
      <c r="B17" s="500" t="str">
        <f>'MN TEP CBA (2024)'!B17</f>
        <v>Participation Rate</v>
      </c>
      <c r="C17" s="503">
        <f>'MN TEP CBA (2024)'!C17</f>
        <v>0.10390106114970608</v>
      </c>
      <c r="D17" s="503">
        <f>'MN TEP CBA (2024)'!D17</f>
        <v>0.17009084556254367</v>
      </c>
      <c r="E17" s="503">
        <f>'MN TEP CBA (2024)'!E17</f>
        <v>0.17443712829226848</v>
      </c>
      <c r="F17" s="503">
        <f>'MN TEP CBA (2024)'!F17</f>
        <v>0.18966771768130003</v>
      </c>
      <c r="G17" s="503">
        <f>'MN TEP CBA (2024)'!G17</f>
        <v>0.16585187168035617</v>
      </c>
      <c r="J17" s="497"/>
      <c r="L17" s="479">
        <v>16</v>
      </c>
      <c r="M17" s="480">
        <v>50.179932437167139</v>
      </c>
      <c r="N17" s="480">
        <v>6.7095735613280763</v>
      </c>
      <c r="O17" s="480">
        <v>61.828845324366668</v>
      </c>
      <c r="P17" s="480">
        <v>7.6857723477348729</v>
      </c>
      <c r="Q17" s="480">
        <v>6.4856186790869437</v>
      </c>
      <c r="R17" s="480">
        <v>154.49718292033569</v>
      </c>
      <c r="S17" s="480">
        <v>177.96962742864503</v>
      </c>
      <c r="T17" s="480">
        <v>1331.7099900770775</v>
      </c>
      <c r="U17" s="480">
        <v>1529.5488213044762</v>
      </c>
      <c r="V17" s="480">
        <v>0.48819289483392131</v>
      </c>
      <c r="W17" s="480">
        <v>0.564754502201404</v>
      </c>
      <c r="X17" s="480">
        <v>9.4982344023027881E-2</v>
      </c>
      <c r="Y17" s="480">
        <v>1.8718684369139977</v>
      </c>
      <c r="Z17" s="480">
        <v>2.1758233289189075</v>
      </c>
      <c r="AA17" s="481">
        <v>4.4089745971883652</v>
      </c>
      <c r="AB17" s="480"/>
      <c r="AC17" s="480"/>
      <c r="AD17" s="480"/>
      <c r="AE17" s="480"/>
      <c r="AF17" s="480"/>
      <c r="AG17" s="497"/>
      <c r="AI17" s="428"/>
      <c r="AJ17" s="424"/>
      <c r="AK17" s="424"/>
      <c r="AL17" s="424"/>
      <c r="AM17" s="429"/>
      <c r="AN17" s="429"/>
      <c r="AP17" s="441"/>
      <c r="AQ17" s="442"/>
    </row>
    <row r="18" spans="1:43" s="479" customFormat="1" x14ac:dyDescent="0.35">
      <c r="B18" s="500" t="str">
        <f>'MN TEP CBA (2024)'!B18</f>
        <v>TOU Off-Peak rate ($/kWh)</v>
      </c>
      <c r="C18" s="504">
        <f>'MN TEP CBA (2024)'!C18</f>
        <v>4.1700000000000001E-2</v>
      </c>
      <c r="D18" s="539"/>
      <c r="E18" s="539"/>
      <c r="F18" s="539"/>
      <c r="G18" s="539"/>
      <c r="J18" s="497"/>
      <c r="L18" s="479">
        <v>17</v>
      </c>
      <c r="M18" s="480">
        <v>52.907493044769815</v>
      </c>
      <c r="N18" s="480">
        <v>7.0724871732915586</v>
      </c>
      <c r="O18" s="480">
        <v>65.189589644448546</v>
      </c>
      <c r="P18" s="480">
        <v>8.1014875013061847</v>
      </c>
      <c r="Q18" s="480">
        <v>6.8380434583347203</v>
      </c>
      <c r="R18" s="480">
        <v>161.97145734016172</v>
      </c>
      <c r="S18" s="480">
        <v>188.25203945554918</v>
      </c>
      <c r="T18" s="480">
        <v>1392.1440425814515</v>
      </c>
      <c r="U18" s="480">
        <v>1612.6883735073234</v>
      </c>
      <c r="V18" s="480">
        <v>0.5085259202165876</v>
      </c>
      <c r="W18" s="480">
        <v>0.59354826938187955</v>
      </c>
      <c r="X18" s="480">
        <v>9.949030499750533E-2</v>
      </c>
      <c r="Y18" s="480">
        <v>1.955007763305822</v>
      </c>
      <c r="Z18" s="480">
        <v>2.2935576238708295</v>
      </c>
      <c r="AA18" s="481">
        <v>4.6523443963873046</v>
      </c>
      <c r="AB18" s="480"/>
      <c r="AC18" s="480"/>
      <c r="AD18" s="480"/>
      <c r="AE18" s="480"/>
      <c r="AF18" s="480"/>
      <c r="AG18" s="497"/>
      <c r="AI18" s="428"/>
      <c r="AJ18" s="424"/>
      <c r="AK18" s="424"/>
      <c r="AL18" s="424"/>
      <c r="AM18" s="429"/>
      <c r="AN18" s="429"/>
    </row>
    <row r="19" spans="1:43" s="479" customFormat="1" x14ac:dyDescent="0.35">
      <c r="B19" s="500" t="str">
        <f>'MN TEP CBA (2024)'!B19</f>
        <v>Flat rate ($/kWh)</v>
      </c>
      <c r="C19" s="504">
        <f>'MN TEP CBA (2024)'!C19</f>
        <v>9.3023333333333333E-2</v>
      </c>
      <c r="D19" s="539" t="str">
        <f>'MN TEP CBA (2024)'!D19</f>
        <v>Summer/non-summer blended</v>
      </c>
      <c r="E19" s="539">
        <f>'MN TEP CBA (2024)'!E19</f>
        <v>0</v>
      </c>
      <c r="F19" s="539">
        <f>'MN TEP CBA (2024)'!F19</f>
        <v>0</v>
      </c>
      <c r="G19" s="539">
        <f>'MN TEP CBA (2024)'!G19</f>
        <v>0</v>
      </c>
      <c r="J19" s="497"/>
      <c r="L19" s="479">
        <v>18</v>
      </c>
      <c r="M19" s="480">
        <v>55.591486614593748</v>
      </c>
      <c r="N19" s="480">
        <v>7.4288841029346733</v>
      </c>
      <c r="O19" s="480">
        <v>68.496653150124459</v>
      </c>
      <c r="P19" s="480">
        <v>8.5097378381765463</v>
      </c>
      <c r="Q19" s="480">
        <v>7.1842866292985432</v>
      </c>
      <c r="R19" s="480">
        <v>169.2315325879639</v>
      </c>
      <c r="S19" s="480">
        <v>198.44088451918819</v>
      </c>
      <c r="T19" s="480">
        <v>1450.4389888432622</v>
      </c>
      <c r="U19" s="480">
        <v>1694.4999464155462</v>
      </c>
      <c r="V19" s="480">
        <v>0.52823328605886977</v>
      </c>
      <c r="W19" s="480">
        <v>0.62206952198765331</v>
      </c>
      <c r="X19" s="480">
        <v>0.10367884753294968</v>
      </c>
      <c r="Y19" s="480">
        <v>2.0345917767003163</v>
      </c>
      <c r="Z19" s="480">
        <v>2.4087346479120493</v>
      </c>
      <c r="AA19" s="481">
        <v>4.8826045394048787</v>
      </c>
      <c r="AB19" s="480"/>
      <c r="AC19" s="480"/>
      <c r="AD19" s="480"/>
      <c r="AE19" s="480"/>
      <c r="AF19" s="480"/>
      <c r="AG19" s="497"/>
      <c r="AI19" s="428"/>
      <c r="AJ19" s="424"/>
      <c r="AK19" s="424"/>
      <c r="AL19" s="424"/>
      <c r="AM19" s="429"/>
      <c r="AN19" s="429"/>
      <c r="AP19" s="420" t="s">
        <v>361</v>
      </c>
      <c r="AQ19" s="419"/>
    </row>
    <row r="20" spans="1:43" s="479" customFormat="1" ht="15" thickBot="1" x14ac:dyDescent="0.4">
      <c r="B20" s="500" t="str">
        <f>'MN TEP CBA (2024)'!B20</f>
        <v>Off-peak/Flate rate ratio</v>
      </c>
      <c r="C20" s="505">
        <f>'MN TEP CBA (2024)'!C20</f>
        <v>0.4482746264378113</v>
      </c>
      <c r="D20" s="539"/>
      <c r="E20" s="539"/>
      <c r="F20" s="539"/>
      <c r="G20" s="539"/>
      <c r="J20" s="497"/>
      <c r="L20" s="479">
        <v>19</v>
      </c>
      <c r="M20" s="480">
        <v>58.232609038336271</v>
      </c>
      <c r="N20" s="480">
        <v>7.7788103458995899</v>
      </c>
      <c r="O20" s="480">
        <v>71.750893279378644</v>
      </c>
      <c r="P20" s="480">
        <v>8.9105760460512915</v>
      </c>
      <c r="Q20" s="480">
        <v>7.5243834834161323</v>
      </c>
      <c r="R20" s="480">
        <v>176.2835472241855</v>
      </c>
      <c r="S20" s="480">
        <v>208.5370140517544</v>
      </c>
      <c r="T20" s="480">
        <v>1506.6705440483586</v>
      </c>
      <c r="U20" s="480">
        <v>1775.004751702292</v>
      </c>
      <c r="V20" s="480">
        <v>0.54769485382980665</v>
      </c>
      <c r="W20" s="480">
        <v>0.65085419959072399</v>
      </c>
      <c r="X20" s="480">
        <v>0.10798296395903099</v>
      </c>
      <c r="Y20" s="480">
        <v>2.1108271517660198</v>
      </c>
      <c r="Z20" s="480">
        <v>2.5214907587785382</v>
      </c>
      <c r="AA20" s="481">
        <v>5.1235935787161235</v>
      </c>
      <c r="AB20" s="480"/>
      <c r="AC20" s="480"/>
      <c r="AD20" s="480"/>
      <c r="AE20" s="480"/>
      <c r="AF20" s="480"/>
      <c r="AG20" s="497"/>
      <c r="AI20" s="434"/>
      <c r="AJ20" s="435"/>
      <c r="AK20" s="436"/>
      <c r="AL20" s="435"/>
      <c r="AM20" s="436"/>
      <c r="AN20" s="436"/>
      <c r="AP20" s="422" t="s">
        <v>363</v>
      </c>
      <c r="AQ20" s="423">
        <f>B3</f>
        <v>10</v>
      </c>
    </row>
    <row r="21" spans="1:43" s="479" customFormat="1" x14ac:dyDescent="0.35">
      <c r="J21" s="497"/>
      <c r="L21" s="479">
        <v>20</v>
      </c>
      <c r="M21" s="480">
        <v>60.831545092290071</v>
      </c>
      <c r="N21" s="480">
        <v>8.1223156095865043</v>
      </c>
      <c r="O21" s="480">
        <v>74.95315377442887</v>
      </c>
      <c r="P21" s="480">
        <v>9.3040590644301346</v>
      </c>
      <c r="Q21" s="480">
        <v>7.8583733658374797</v>
      </c>
      <c r="R21" s="480">
        <v>183.13346388924188</v>
      </c>
      <c r="S21" s="480">
        <v>218.54127173765445</v>
      </c>
      <c r="T21" s="480">
        <v>1560.9117433897711</v>
      </c>
      <c r="U21" s="480">
        <v>1854.2236622288913</v>
      </c>
      <c r="V21" s="480">
        <v>0.5660940093740785</v>
      </c>
      <c r="W21" s="480">
        <v>0.67866573513032591</v>
      </c>
      <c r="X21" s="480">
        <v>0.11206556957186346</v>
      </c>
      <c r="Y21" s="480">
        <v>2.1840216751135446</v>
      </c>
      <c r="Z21" s="480">
        <v>2.6321291020702047</v>
      </c>
      <c r="AA21" s="481">
        <v>5.3564530064585592</v>
      </c>
      <c r="AB21" s="480"/>
      <c r="AC21" s="480"/>
      <c r="AD21" s="480"/>
      <c r="AE21" s="480"/>
      <c r="AF21" s="480"/>
      <c r="AG21" s="497"/>
      <c r="AI21" s="421" t="s">
        <v>364</v>
      </c>
      <c r="AJ21" s="438"/>
      <c r="AK21" s="438"/>
      <c r="AL21" s="438"/>
      <c r="AM21" s="438"/>
      <c r="AN21" s="438"/>
      <c r="AO21" s="443"/>
      <c r="AP21" s="426"/>
      <c r="AQ21" s="427"/>
    </row>
    <row r="22" spans="1:43" s="479" customFormat="1" x14ac:dyDescent="0.35">
      <c r="J22" s="497"/>
      <c r="AG22" s="497"/>
      <c r="AI22" s="428" t="s">
        <v>365</v>
      </c>
      <c r="AJ22" s="424" t="s">
        <v>346</v>
      </c>
      <c r="AK22" s="424" t="s">
        <v>346</v>
      </c>
      <c r="AL22" s="424" t="s">
        <v>346</v>
      </c>
      <c r="AM22" s="425" cm="1">
        <f t="array" ref="AM22">INDEX($X$2:$X$21,$B$3)*$AQ$26</f>
        <v>-6541896.7843702873</v>
      </c>
      <c r="AN22" s="424">
        <f>AM22</f>
        <v>-6541896.7843702873</v>
      </c>
      <c r="AO22" s="443"/>
      <c r="AP22" s="426" t="s">
        <v>366</v>
      </c>
      <c r="AQ22" s="430">
        <v>8.6999999999999966E-2</v>
      </c>
    </row>
    <row r="23" spans="1:43" s="479" customFormat="1" x14ac:dyDescent="0.35">
      <c r="J23" s="497"/>
      <c r="AG23" s="497"/>
      <c r="AI23" s="428" t="s">
        <v>367</v>
      </c>
      <c r="AJ23" s="424" t="s">
        <v>346</v>
      </c>
      <c r="AK23" s="424" t="s">
        <v>346</v>
      </c>
      <c r="AL23" s="424" t="s">
        <v>346</v>
      </c>
      <c r="AM23" s="424">
        <v>0</v>
      </c>
      <c r="AN23" s="424">
        <v>0</v>
      </c>
      <c r="AO23" s="443"/>
      <c r="AP23" s="426" t="s">
        <v>368</v>
      </c>
      <c r="AQ23" s="430">
        <v>0.10560000000000003</v>
      </c>
    </row>
    <row r="24" spans="1:43" s="479" customFormat="1" x14ac:dyDescent="0.35">
      <c r="J24" s="497"/>
      <c r="AG24" s="497"/>
      <c r="AI24" s="428" t="s">
        <v>370</v>
      </c>
      <c r="AJ24" s="424" t="s">
        <v>346</v>
      </c>
      <c r="AK24" s="424" t="s">
        <v>346</v>
      </c>
      <c r="AL24" s="424" t="s">
        <v>346</v>
      </c>
      <c r="AM24" s="425" cm="1">
        <f t="array" ref="AM24">INDEX($N$2:$N$21,$B$3)*$AQ$27+INDEX($P$2:$P$21,$B$3)*$AQ$28</f>
        <v>58084027.8204685</v>
      </c>
      <c r="AN24" s="424">
        <f>AM24</f>
        <v>58084027.8204685</v>
      </c>
      <c r="AO24" s="443"/>
      <c r="AP24" s="431" t="s">
        <v>371</v>
      </c>
      <c r="AQ24" s="444">
        <f>D3*(1+AQ23)*F13+D4*(1+AQ23)*F14</f>
        <v>-14605.875357971594</v>
      </c>
    </row>
    <row r="25" spans="1:43" s="479" customFormat="1" x14ac:dyDescent="0.35">
      <c r="J25" s="497"/>
      <c r="AG25" s="497"/>
      <c r="AI25" s="428" t="s">
        <v>372</v>
      </c>
      <c r="AJ25" s="445" t="s">
        <v>346</v>
      </c>
      <c r="AK25" s="424" t="s">
        <v>346</v>
      </c>
      <c r="AL25" s="424" t="s">
        <v>346</v>
      </c>
      <c r="AM25" s="424">
        <v>0</v>
      </c>
      <c r="AN25" s="424">
        <v>0</v>
      </c>
      <c r="AO25" s="443"/>
      <c r="AP25" s="426" t="s">
        <v>373</v>
      </c>
      <c r="AQ25" s="446">
        <f>C3*F13+C4*F14</f>
        <v>-94051211.101056859</v>
      </c>
    </row>
    <row r="26" spans="1:43" s="479" customFormat="1" x14ac:dyDescent="0.35">
      <c r="A26" s="508"/>
      <c r="B26" s="508"/>
      <c r="C26" s="508"/>
      <c r="D26" s="508"/>
      <c r="E26" s="508"/>
      <c r="F26" s="508"/>
      <c r="G26" s="508"/>
      <c r="I26" s="508"/>
      <c r="J26" s="509"/>
      <c r="K26" s="508"/>
      <c r="L26" s="508"/>
      <c r="M26" s="508"/>
      <c r="N26" s="508"/>
      <c r="O26" s="508"/>
      <c r="P26" s="508"/>
      <c r="Q26" s="508"/>
      <c r="R26" s="508"/>
      <c r="S26" s="508"/>
      <c r="T26" s="508"/>
      <c r="U26" s="508"/>
      <c r="V26" s="508"/>
      <c r="W26" s="508"/>
      <c r="X26" s="508"/>
      <c r="AG26" s="497"/>
      <c r="AI26" s="428" t="s">
        <v>374</v>
      </c>
      <c r="AJ26" s="445" t="s">
        <v>346</v>
      </c>
      <c r="AK26" s="424" t="s">
        <v>346</v>
      </c>
      <c r="AL26" s="424" t="s">
        <v>346</v>
      </c>
      <c r="AM26" s="424">
        <v>0</v>
      </c>
      <c r="AN26" s="424">
        <v>0</v>
      </c>
      <c r="AO26" s="443"/>
      <c r="AP26" s="431" t="s">
        <v>375</v>
      </c>
      <c r="AQ26" s="447">
        <f>AQ25*(1+AQ22)</f>
        <v>-102233666.46684881</v>
      </c>
    </row>
    <row r="27" spans="1:43" s="479" customFormat="1" x14ac:dyDescent="0.35">
      <c r="A27" s="511"/>
      <c r="B27" s="511"/>
      <c r="C27" s="511"/>
      <c r="D27" s="511"/>
      <c r="E27" s="511"/>
      <c r="F27" s="511"/>
      <c r="G27" s="511"/>
      <c r="I27" s="511"/>
      <c r="J27" s="512"/>
      <c r="K27" s="511"/>
      <c r="L27" s="511"/>
      <c r="M27" s="511"/>
      <c r="N27" s="511"/>
      <c r="O27" s="511"/>
      <c r="P27" s="511"/>
      <c r="Q27" s="511"/>
      <c r="R27" s="511"/>
      <c r="S27" s="511"/>
      <c r="T27" s="511"/>
      <c r="U27" s="511"/>
      <c r="V27" s="511"/>
      <c r="W27" s="511"/>
      <c r="X27" s="511"/>
      <c r="AG27" s="497"/>
      <c r="AI27" s="428" t="s">
        <v>376</v>
      </c>
      <c r="AJ27" s="425" cm="1">
        <f t="array" ref="AJ27">INDEX($M$2:$M$21,$B$3)*$AQ$27+INDEX($O$2:$O$21,$B$3)*$AQ$28</f>
        <v>434421967.74448174</v>
      </c>
      <c r="AK27" s="424" t="s">
        <v>346</v>
      </c>
      <c r="AL27" s="424" t="s">
        <v>346</v>
      </c>
      <c r="AM27" s="425">
        <f>AJ27</f>
        <v>434421967.74448174</v>
      </c>
      <c r="AN27" s="424">
        <f>AJ27</f>
        <v>434421967.74448174</v>
      </c>
      <c r="AO27" s="443"/>
      <c r="AP27" s="431" t="s">
        <v>377</v>
      </c>
      <c r="AQ27" s="448">
        <f>E3*F13</f>
        <v>13220692.539669422</v>
      </c>
    </row>
    <row r="28" spans="1:43" s="479" customFormat="1" x14ac:dyDescent="0.35">
      <c r="J28" s="497"/>
      <c r="AG28" s="497"/>
      <c r="AI28" s="428" t="s">
        <v>378</v>
      </c>
      <c r="AJ28" s="424" t="s">
        <v>346</v>
      </c>
      <c r="AK28" s="424">
        <v>0</v>
      </c>
      <c r="AL28" s="424">
        <v>0</v>
      </c>
      <c r="AM28" s="424">
        <v>0</v>
      </c>
      <c r="AN28" s="424">
        <v>0</v>
      </c>
      <c r="AO28" s="443"/>
      <c r="AP28" s="431" t="s">
        <v>379</v>
      </c>
      <c r="AQ28" s="448">
        <f>F4*F14</f>
        <v>0</v>
      </c>
    </row>
    <row r="29" spans="1:43" s="479" customFormat="1" x14ac:dyDescent="0.35">
      <c r="J29" s="497"/>
      <c r="AG29" s="497"/>
      <c r="AI29" s="428" t="s">
        <v>380</v>
      </c>
      <c r="AJ29" s="449" t="s">
        <v>346</v>
      </c>
      <c r="AK29" s="424">
        <v>0</v>
      </c>
      <c r="AL29" s="424">
        <v>0</v>
      </c>
      <c r="AM29" s="424">
        <v>0</v>
      </c>
      <c r="AN29" s="424">
        <v>0</v>
      </c>
      <c r="AO29" s="443"/>
      <c r="AP29" s="431" t="s">
        <v>381</v>
      </c>
      <c r="AQ29" s="440">
        <f>F13</f>
        <v>24738</v>
      </c>
    </row>
    <row r="30" spans="1:43" s="479" customFormat="1" ht="15" thickBot="1" x14ac:dyDescent="0.4">
      <c r="J30" s="497"/>
      <c r="AG30" s="497"/>
      <c r="AI30" s="434" t="s">
        <v>354</v>
      </c>
      <c r="AJ30" s="436">
        <f t="shared" ref="AJ30:AN30" si="3">SUM(AJ22:AJ29)</f>
        <v>434421967.74448174</v>
      </c>
      <c r="AK30" s="436">
        <f t="shared" si="3"/>
        <v>0</v>
      </c>
      <c r="AL30" s="436">
        <f t="shared" si="3"/>
        <v>0</v>
      </c>
      <c r="AM30" s="436">
        <f t="shared" si="3"/>
        <v>485964098.78057992</v>
      </c>
      <c r="AN30" s="436">
        <f t="shared" si="3"/>
        <v>485964098.78057992</v>
      </c>
      <c r="AO30" s="443"/>
      <c r="AP30" s="431" t="s">
        <v>406</v>
      </c>
      <c r="AQ30" s="440">
        <f>F14</f>
        <v>0</v>
      </c>
    </row>
    <row r="31" spans="1:43" s="479" customFormat="1" x14ac:dyDescent="0.35">
      <c r="J31" s="497"/>
      <c r="AG31" s="497"/>
      <c r="AI31" s="421" t="s">
        <v>383</v>
      </c>
      <c r="AJ31" s="429"/>
      <c r="AK31" s="429"/>
      <c r="AL31" s="429"/>
      <c r="AM31" s="429"/>
      <c r="AN31" s="429"/>
      <c r="AO31" s="443"/>
    </row>
    <row r="32" spans="1:43" s="479" customFormat="1" x14ac:dyDescent="0.35">
      <c r="J32" s="497"/>
      <c r="AG32" s="497"/>
      <c r="AI32" s="428" t="s">
        <v>384</v>
      </c>
      <c r="AJ32" s="425" cm="1">
        <f t="array" ref="AJ32">(INDEX($Z$2:$Z$21,$B$3)*$AQ$26)*(1-F17)+(INDEX($Z$2:$Z$21,$B$3)*$AQ$26)*(F17)*C20</f>
        <v>-130439697.38775954</v>
      </c>
      <c r="AK32" s="424" t="s">
        <v>346</v>
      </c>
      <c r="AL32" s="425" cm="1">
        <f t="array" ref="AL32">(INDEX($Y$2:$Y$21,$B$3)*$AQ$26*-1)*(1-F17)+(INDEX($Y$2:$Y$21,$B$3)*$AQ$26*-1)*F17*C20</f>
        <v>118877823.14655536</v>
      </c>
      <c r="AM32" s="424" t="s">
        <v>346</v>
      </c>
      <c r="AN32" s="424" t="s">
        <v>346</v>
      </c>
      <c r="AO32" s="443"/>
      <c r="AP32" s="420" t="s">
        <v>385</v>
      </c>
      <c r="AQ32" s="419"/>
    </row>
    <row r="33" spans="10:43" s="479" customFormat="1" x14ac:dyDescent="0.35">
      <c r="J33" s="497"/>
      <c r="AG33" s="497"/>
      <c r="AI33" s="428" t="s">
        <v>386</v>
      </c>
      <c r="AJ33" s="425">
        <v>0</v>
      </c>
      <c r="AK33" s="424" t="s">
        <v>346</v>
      </c>
      <c r="AL33" s="424" t="s">
        <v>346</v>
      </c>
      <c r="AM33" s="424" t="s">
        <v>346</v>
      </c>
      <c r="AN33" s="424" t="s">
        <v>346</v>
      </c>
      <c r="AO33" s="443"/>
      <c r="AP33" s="422"/>
      <c r="AQ33" s="450"/>
    </row>
    <row r="34" spans="10:43" s="479" customFormat="1" x14ac:dyDescent="0.35">
      <c r="J34" s="497"/>
      <c r="AG34" s="497"/>
      <c r="AI34" s="428" t="s">
        <v>387</v>
      </c>
      <c r="AJ34" s="425">
        <f>-1*AK44</f>
        <v>0</v>
      </c>
      <c r="AK34" s="424" t="s">
        <v>346</v>
      </c>
      <c r="AL34" s="424" t="s">
        <v>346</v>
      </c>
      <c r="AM34" s="451">
        <f>AJ34</f>
        <v>0</v>
      </c>
      <c r="AN34" s="424" t="s">
        <v>346</v>
      </c>
      <c r="AO34" s="443"/>
      <c r="AP34" s="426"/>
      <c r="AQ34" s="452"/>
    </row>
    <row r="35" spans="10:43" s="479" customFormat="1" x14ac:dyDescent="0.35">
      <c r="J35" s="497"/>
      <c r="AG35" s="497"/>
      <c r="AI35" s="428" t="s">
        <v>388</v>
      </c>
      <c r="AJ35" s="425">
        <f>(I3*F13+I4*F14)*-1</f>
        <v>-420546000</v>
      </c>
      <c r="AK35" s="424" t="s">
        <v>346</v>
      </c>
      <c r="AL35" s="424" t="s">
        <v>346</v>
      </c>
      <c r="AM35" s="445">
        <f>AJ35</f>
        <v>-420546000</v>
      </c>
      <c r="AN35" s="424" t="s">
        <v>346</v>
      </c>
      <c r="AO35" s="443"/>
      <c r="AP35" s="426" t="s">
        <v>389</v>
      </c>
      <c r="AQ35" s="452">
        <f>$AA$2*$AQ$26/2000</f>
        <v>-19254.585725663503</v>
      </c>
    </row>
    <row r="36" spans="10:43" s="479" customFormat="1" x14ac:dyDescent="0.35">
      <c r="J36" s="497"/>
      <c r="AG36" s="497"/>
      <c r="AI36" s="453" t="s">
        <v>390</v>
      </c>
      <c r="AJ36" s="425">
        <f>PV(AF2,B3,-G3)*F13+PV(AF2,B4,-G4)*F14</f>
        <v>157776619.84451923</v>
      </c>
      <c r="AK36" s="424" t="s">
        <v>346</v>
      </c>
      <c r="AL36" s="449" t="s">
        <v>346</v>
      </c>
      <c r="AM36" s="445">
        <f>AJ36</f>
        <v>157776619.84451923</v>
      </c>
      <c r="AN36" s="424" t="s">
        <v>346</v>
      </c>
      <c r="AO36" s="443"/>
      <c r="AP36" s="426"/>
      <c r="AQ36" s="452"/>
    </row>
    <row r="37" spans="10:43" s="479" customFormat="1" ht="15" thickBot="1" x14ac:dyDescent="0.4">
      <c r="J37" s="497"/>
      <c r="AG37" s="497"/>
      <c r="AI37" s="434" t="s">
        <v>354</v>
      </c>
      <c r="AJ37" s="454">
        <f>SUM(AJ32:AJ36)</f>
        <v>-393209077.54324031</v>
      </c>
      <c r="AK37" s="455" t="s">
        <v>346</v>
      </c>
      <c r="AL37" s="456">
        <f>AL32</f>
        <v>118877823.14655536</v>
      </c>
      <c r="AM37" s="456">
        <f>SUM(AM34:AM36)</f>
        <v>-262769380.15548077</v>
      </c>
      <c r="AN37" s="455" t="s">
        <v>346</v>
      </c>
      <c r="AO37" s="443"/>
      <c r="AP37" s="426" t="s">
        <v>391</v>
      </c>
      <c r="AQ37" s="452">
        <f>AQ27*AB2/2000+AQ28*AD2/2000</f>
        <v>129513.19092933976</v>
      </c>
    </row>
    <row r="38" spans="10:43" s="479" customFormat="1" x14ac:dyDescent="0.35">
      <c r="J38" s="497"/>
      <c r="AG38" s="497"/>
      <c r="AI38" s="421" t="s">
        <v>392</v>
      </c>
      <c r="AJ38" s="457"/>
      <c r="AK38" s="458"/>
      <c r="AL38" s="457"/>
      <c r="AM38" s="457"/>
      <c r="AN38" s="459"/>
      <c r="AO38" s="443"/>
      <c r="AP38" s="460" t="s">
        <v>393</v>
      </c>
      <c r="AQ38" s="461">
        <f>SUM(AQ35:AQ37)</f>
        <v>110258.60520367626</v>
      </c>
    </row>
    <row r="39" spans="10:43" s="479" customFormat="1" x14ac:dyDescent="0.35">
      <c r="J39" s="497"/>
      <c r="AG39" s="497"/>
      <c r="AI39" s="420" t="s">
        <v>394</v>
      </c>
      <c r="AJ39" s="445"/>
      <c r="AK39" s="445"/>
      <c r="AL39" s="445"/>
      <c r="AM39" s="445"/>
      <c r="AN39" s="445"/>
      <c r="AO39" s="443"/>
      <c r="AP39" s="443"/>
      <c r="AQ39" s="443"/>
    </row>
    <row r="40" spans="10:43" s="479" customFormat="1" x14ac:dyDescent="0.35">
      <c r="J40" s="497"/>
      <c r="AG40" s="497"/>
      <c r="AI40" s="515" t="s">
        <v>395</v>
      </c>
      <c r="AJ40" s="424" t="s">
        <v>346</v>
      </c>
      <c r="AK40" s="462">
        <f>F10</f>
        <v>4496479.5234320108</v>
      </c>
      <c r="AL40" s="429">
        <f>AK40</f>
        <v>4496479.5234320108</v>
      </c>
      <c r="AM40" s="429">
        <f>AL40</f>
        <v>4496479.5234320108</v>
      </c>
      <c r="AN40" s="429">
        <f>AM40</f>
        <v>4496479.5234320108</v>
      </c>
      <c r="AO40" s="443"/>
      <c r="AP40" s="420" t="s">
        <v>396</v>
      </c>
      <c r="AQ40" s="463"/>
    </row>
    <row r="41" spans="10:43" s="479" customFormat="1" x14ac:dyDescent="0.35">
      <c r="J41" s="497"/>
      <c r="AG41" s="497"/>
      <c r="AI41" s="428" t="s">
        <v>397</v>
      </c>
      <c r="AJ41" s="424" t="s">
        <v>346</v>
      </c>
      <c r="AK41" s="425">
        <f>C7*-1</f>
        <v>0</v>
      </c>
      <c r="AL41" s="429">
        <f t="shared" ref="AL41:AL45" si="4">AK41</f>
        <v>0</v>
      </c>
      <c r="AM41" s="429">
        <f>AL41</f>
        <v>0</v>
      </c>
      <c r="AN41" s="429">
        <f t="shared" ref="AN41:AN45" si="5">AM41</f>
        <v>0</v>
      </c>
      <c r="AO41" s="443"/>
      <c r="AP41" s="422"/>
      <c r="AQ41" s="450"/>
    </row>
    <row r="42" spans="10:43" s="479" customFormat="1" x14ac:dyDescent="0.35">
      <c r="J42" s="497"/>
      <c r="AG42" s="497"/>
      <c r="AI42" s="428" t="s">
        <v>398</v>
      </c>
      <c r="AJ42" s="424" t="s">
        <v>346</v>
      </c>
      <c r="AK42" s="425">
        <f>D7*-1</f>
        <v>0</v>
      </c>
      <c r="AL42" s="429">
        <f t="shared" si="4"/>
        <v>0</v>
      </c>
      <c r="AM42" s="429">
        <f>AL42</f>
        <v>0</v>
      </c>
      <c r="AN42" s="429">
        <f t="shared" si="5"/>
        <v>0</v>
      </c>
      <c r="AO42" s="443"/>
      <c r="AP42" s="426"/>
      <c r="AQ42" s="452"/>
    </row>
    <row r="43" spans="10:43" s="479" customFormat="1" x14ac:dyDescent="0.35">
      <c r="J43" s="497"/>
      <c r="AG43" s="497"/>
      <c r="AI43" s="428" t="s">
        <v>399</v>
      </c>
      <c r="AJ43" s="424" t="s">
        <v>346</v>
      </c>
      <c r="AK43" s="425">
        <f>E7*-1</f>
        <v>0</v>
      </c>
      <c r="AL43" s="429">
        <f t="shared" si="4"/>
        <v>0</v>
      </c>
      <c r="AM43" s="429">
        <f>AL43</f>
        <v>0</v>
      </c>
      <c r="AN43" s="429">
        <f t="shared" si="5"/>
        <v>0</v>
      </c>
      <c r="AO43" s="443"/>
      <c r="AP43" s="426" t="s">
        <v>389</v>
      </c>
      <c r="AQ43" s="452" cm="1">
        <f t="array" ref="AQ43">INDEX($AA$2:$AA$21,$B$3)*$AQ$26/2000</f>
        <v>-145027.46030016418</v>
      </c>
    </row>
    <row r="44" spans="10:43" s="479" customFormat="1" x14ac:dyDescent="0.35">
      <c r="J44" s="497"/>
      <c r="AG44" s="497"/>
      <c r="AI44" s="428" t="s">
        <v>326</v>
      </c>
      <c r="AJ44" s="424" t="s">
        <v>346</v>
      </c>
      <c r="AK44" s="425">
        <f>-H3*C15</f>
        <v>0</v>
      </c>
      <c r="AL44" s="429">
        <f t="shared" si="4"/>
        <v>0</v>
      </c>
      <c r="AM44" s="429">
        <f>AL44</f>
        <v>0</v>
      </c>
      <c r="AN44" s="429">
        <f t="shared" si="5"/>
        <v>0</v>
      </c>
      <c r="AO44" s="443"/>
      <c r="AP44" s="426"/>
      <c r="AQ44" s="452"/>
    </row>
    <row r="45" spans="10:43" s="479" customFormat="1" x14ac:dyDescent="0.35">
      <c r="J45" s="497"/>
      <c r="AG45" s="497"/>
      <c r="AI45" s="453" t="s">
        <v>400</v>
      </c>
      <c r="AJ45" s="449" t="s">
        <v>346</v>
      </c>
      <c r="AK45" s="464">
        <f>F7*-1</f>
        <v>0</v>
      </c>
      <c r="AL45" s="465">
        <f t="shared" si="4"/>
        <v>0</v>
      </c>
      <c r="AM45" s="465">
        <f>AL45</f>
        <v>0</v>
      </c>
      <c r="AN45" s="465">
        <f t="shared" si="5"/>
        <v>0</v>
      </c>
      <c r="AO45" s="443"/>
      <c r="AP45" s="426" t="s">
        <v>391</v>
      </c>
      <c r="AQ45" s="452">
        <f>AQ27*AB2*B3/2000+AQ28*AD2*B4/2000</f>
        <v>1295131.9092933976</v>
      </c>
    </row>
    <row r="46" spans="10:43" s="479" customFormat="1" ht="15" thickBot="1" x14ac:dyDescent="0.4">
      <c r="J46" s="497"/>
      <c r="AG46" s="497"/>
      <c r="AI46" s="434" t="s">
        <v>354</v>
      </c>
      <c r="AJ46" s="436" t="s">
        <v>346</v>
      </c>
      <c r="AK46" s="466">
        <f>SUM(AK40:AK45)</f>
        <v>4496479.5234320108</v>
      </c>
      <c r="AL46" s="467">
        <f t="shared" ref="AL46:AN46" si="6">SUM(AL40:AL45)</f>
        <v>4496479.5234320108</v>
      </c>
      <c r="AM46" s="466">
        <f t="shared" si="6"/>
        <v>4496479.5234320108</v>
      </c>
      <c r="AN46" s="466">
        <f t="shared" si="6"/>
        <v>4496479.5234320108</v>
      </c>
      <c r="AO46" s="443"/>
      <c r="AP46" s="460" t="s">
        <v>393</v>
      </c>
      <c r="AQ46" s="461">
        <f>SUM(AQ43:AQ45)</f>
        <v>1150104.4489932335</v>
      </c>
    </row>
    <row r="47" spans="10:43" s="479" customFormat="1" ht="15" thickBot="1" x14ac:dyDescent="0.4">
      <c r="J47" s="497"/>
      <c r="AG47" s="497"/>
      <c r="AI47" s="468"/>
      <c r="AJ47" s="458"/>
      <c r="AK47" s="458"/>
      <c r="AL47" s="457"/>
      <c r="AM47" s="457"/>
      <c r="AN47" s="459"/>
      <c r="AO47" s="443"/>
    </row>
    <row r="48" spans="10:43" s="479" customFormat="1" ht="15" thickBot="1" x14ac:dyDescent="0.4">
      <c r="J48" s="497"/>
      <c r="AG48" s="497"/>
      <c r="AI48" s="469" t="s">
        <v>265</v>
      </c>
      <c r="AJ48" s="470">
        <f>SUMIF(AJ10:AJ13,"&gt;0")+SUMIF(AJ16:AJ19,"&gt;0")+SUMIF(AJ22:AJ29,"&gt;0")+SUMIF(AJ32:AJ36,"&gt;0")+SUMIF(AJ40:AJ45,"&gt;0")</f>
        <v>592198587.58900094</v>
      </c>
      <c r="AK48" s="470">
        <f>SUMIF(AK10:AK13,"&gt;0")+SUMIF(AK16:AK19,"&gt;0")+SUMIF(AK22:AK29,"&gt;0")+SUMIF(AK32:AK36,"&gt;0")+SUMIF(AK40:AK45,"&gt;0")</f>
        <v>4496479.5234320108</v>
      </c>
      <c r="AL48" s="470">
        <f>SUMIF(AL10:AL13,"&gt;0")+SUMIF(AL16:AL19,"&gt;0")+SUMIF(AL22:AL29,"&gt;0")+SUMIF(AL32:AL36,"&gt;0")+SUMIF(AL40:AL45,"&gt;0")</f>
        <v>123374302.66998738</v>
      </c>
      <c r="AM48" s="470">
        <f>SUMIF(AM10:AM13,"&gt;0")+SUMIF(AM16:AM19,"&gt;0")+SUMIF(AM22:AM29,"&gt;0")+SUMIF(AM32:AM36,"&gt;0")+SUMIF(AM40:AM45,"&gt;0")</f>
        <v>654779094.9329015</v>
      </c>
      <c r="AN48" s="471">
        <f>SUMIF(AN10:AN13,"&gt;0")+SUMIF(AN16:AN19,"&gt;0")+SUMIF(AN22:AN29,"&gt;0")+SUMIF(AN32:AN36,"&gt;0")+SUMIF(AN40:AN45,"&gt;0")</f>
        <v>497002475.08838224</v>
      </c>
      <c r="AO48" s="443"/>
    </row>
    <row r="49" spans="10:41" s="479" customFormat="1" ht="15" thickBot="1" x14ac:dyDescent="0.4">
      <c r="J49" s="497"/>
      <c r="AG49" s="497"/>
      <c r="AI49" s="469" t="s">
        <v>281</v>
      </c>
      <c r="AJ49" s="470">
        <f>SUMIF(AJ10:AJ13,"&lt;0")+SUMIF(AJ16:AJ19,"&lt;0")+SUMIF(AJ22:AJ29,"&lt;0")+SUMIF(AJ32:AJ36,"&lt;0")+SUMIF(AJ40:AJ45,"&lt;0")</f>
        <v>-550985697.38775957</v>
      </c>
      <c r="AK49" s="470">
        <f>SUMIF(AK10:AK13,"&lt;0")+SUMIF(AK16:AK19,"&lt;0")+SUMIF(AK22:AK29,"&lt;0")+SUMIF(AK32:AK36,"&lt;0")+SUMIF(AK40:AK45,"&lt;0")</f>
        <v>-51191250.302587338</v>
      </c>
      <c r="AL49" s="470">
        <f>SUMIF(AL10:AL13,"&lt;0")+SUMIF(AL16:AL19,"&lt;0")+SUMIF(AL22:AL29,"&lt;0")+SUMIF(AL32:AL36,"&lt;0")+SUMIF(AL40:AL45,"&lt;0")</f>
        <v>-51191250.302587338</v>
      </c>
      <c r="AM49" s="470">
        <f>SUMIF(AM10:AM13,"&lt;0")+SUMIF(AM16:AM19,"&lt;0")+SUMIF(AM22:AM29,"&lt;0")+SUMIF(AM32:AM36,"&lt;0")+SUMIF(AM40:AM45,"&lt;0")</f>
        <v>-482985496.16574907</v>
      </c>
      <c r="AN49" s="471">
        <f>SUMIF(AN10:AN13,"&lt;0")+SUMIF(AN16:AN19,"&lt;0")+SUMIF(AN22:AN29,"&lt;0")+SUMIF(AN32:AN36,"&lt;0")+SUMIF(AN40:AN45,"&lt;0")</f>
        <v>-62439496.165749095</v>
      </c>
      <c r="AO49" s="443"/>
    </row>
    <row r="50" spans="10:41" s="479" customFormat="1" ht="15" thickBot="1" x14ac:dyDescent="0.4">
      <c r="J50" s="497"/>
      <c r="AG50" s="497"/>
      <c r="AI50" s="472" t="s">
        <v>402</v>
      </c>
      <c r="AJ50" s="473">
        <f>AJ48+AJ49</f>
        <v>41212890.201241374</v>
      </c>
      <c r="AK50" s="473">
        <f t="shared" ref="AK50:AN50" si="7">AK48+AK49</f>
        <v>-46694770.779155329</v>
      </c>
      <c r="AL50" s="473">
        <f t="shared" si="7"/>
        <v>72183052.36740005</v>
      </c>
      <c r="AM50" s="473">
        <f t="shared" si="7"/>
        <v>171793598.76715243</v>
      </c>
      <c r="AN50" s="474">
        <f t="shared" si="7"/>
        <v>434562978.92263317</v>
      </c>
      <c r="AO50" s="443"/>
    </row>
    <row r="51" spans="10:41" s="479" customFormat="1" ht="15" thickBot="1" x14ac:dyDescent="0.4">
      <c r="J51" s="497"/>
      <c r="AG51" s="497"/>
      <c r="AI51" s="472" t="s">
        <v>403</v>
      </c>
      <c r="AJ51" s="475">
        <f>ABS(AJ48/AJ49)</f>
        <v>1.0747984755260127</v>
      </c>
      <c r="AK51" s="475">
        <f t="shared" ref="AK51:AN51" si="8">ABS(AK48/AK49)</f>
        <v>8.7836876357847954E-2</v>
      </c>
      <c r="AL51" s="475">
        <f t="shared" si="8"/>
        <v>2.4100662113297071</v>
      </c>
      <c r="AM51" s="475">
        <f t="shared" si="8"/>
        <v>1.3556910096285728</v>
      </c>
      <c r="AN51" s="476">
        <f t="shared" si="8"/>
        <v>7.9597451230077461</v>
      </c>
    </row>
    <row r="52" spans="10:41" s="479" customFormat="1" x14ac:dyDescent="0.35">
      <c r="J52" s="497"/>
      <c r="AG52" s="497"/>
      <c r="AI52" s="547" t="s">
        <v>404</v>
      </c>
      <c r="AJ52" s="547"/>
      <c r="AK52" s="547"/>
      <c r="AL52" s="547"/>
      <c r="AM52" s="547"/>
      <c r="AN52" s="547"/>
    </row>
  </sheetData>
  <mergeCells count="8">
    <mergeCell ref="AI2:AK2"/>
    <mergeCell ref="AL2:AO2"/>
    <mergeCell ref="AI3:AQ3"/>
    <mergeCell ref="B5:F5"/>
    <mergeCell ref="AI52:AN52"/>
    <mergeCell ref="D18:G18"/>
    <mergeCell ref="D19:G19"/>
    <mergeCell ref="D20:G20"/>
  </mergeCells>
  <pageMargins left="0.25" right="0.25" top="0.75" bottom="0.75" header="0.3" footer="0.3"/>
  <pageSetup scale="61" orientation="landscape" r:id="rId1"/>
  <headerFooter>
    <oddHeader>&amp;L&amp;"Garamond,Regular"&amp;12Northern States Power Company
TEP Cost-Benefit Analysis&amp;R&amp;"Garamond,Regular"&amp;12Docket No. E002/M-23-452
2023 Integrated Distribution Plan
Appendix H12 - Page &amp;P of &amp;N</oddHead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BCA4E-1C48-4844-BC4A-F2C972741EFA}">
  <dimension ref="B1:W18"/>
  <sheetViews>
    <sheetView workbookViewId="0">
      <selection activeCell="B43" sqref="B43"/>
    </sheetView>
  </sheetViews>
  <sheetFormatPr defaultRowHeight="14.5" x14ac:dyDescent="0.35"/>
  <cols>
    <col min="2" max="2" width="31" bestFit="1" customWidth="1"/>
  </cols>
  <sheetData>
    <row r="1" spans="2:23" x14ac:dyDescent="0.35">
      <c r="D1">
        <v>1</v>
      </c>
      <c r="E1">
        <v>2</v>
      </c>
      <c r="F1">
        <v>3</v>
      </c>
      <c r="G1">
        <v>4</v>
      </c>
      <c r="H1">
        <v>5</v>
      </c>
      <c r="I1">
        <v>6</v>
      </c>
      <c r="J1">
        <v>7</v>
      </c>
      <c r="K1">
        <v>8</v>
      </c>
      <c r="L1">
        <v>9</v>
      </c>
      <c r="M1">
        <v>10</v>
      </c>
      <c r="N1">
        <v>11</v>
      </c>
      <c r="O1">
        <v>12</v>
      </c>
      <c r="P1">
        <v>13</v>
      </c>
      <c r="Q1">
        <v>14</v>
      </c>
      <c r="R1">
        <v>15</v>
      </c>
      <c r="S1">
        <v>16</v>
      </c>
      <c r="T1">
        <v>17</v>
      </c>
      <c r="U1">
        <v>18</v>
      </c>
      <c r="V1">
        <v>19</v>
      </c>
      <c r="W1">
        <v>20</v>
      </c>
    </row>
    <row r="2" spans="2:23" x14ac:dyDescent="0.35">
      <c r="B2" t="s">
        <v>409</v>
      </c>
      <c r="C2">
        <v>2024</v>
      </c>
      <c r="D2">
        <v>0.51686405403975388</v>
      </c>
      <c r="E2">
        <v>1.0269932297499336</v>
      </c>
      <c r="F2">
        <v>1.5302903520869438</v>
      </c>
      <c r="G2">
        <v>2.0267731286989479</v>
      </c>
      <c r="H2">
        <v>2.516264758599303</v>
      </c>
      <c r="I2">
        <v>2.9987052399107306</v>
      </c>
      <c r="J2">
        <v>3.47404553906952</v>
      </c>
      <c r="K2">
        <v>3.9422469512765916</v>
      </c>
      <c r="L2">
        <v>4.4032804906168153</v>
      </c>
      <c r="M2">
        <v>4.8571263086037231</v>
      </c>
      <c r="N2">
        <v>5.3037731399558661</v>
      </c>
      <c r="O2">
        <v>5.7432177744583495</v>
      </c>
      <c r="P2">
        <v>6.1754645538085136</v>
      </c>
      <c r="Q2">
        <v>6.6005248923884769</v>
      </c>
      <c r="R2">
        <v>7.0184168209493016</v>
      </c>
      <c r="S2">
        <v>7.4292335043439959</v>
      </c>
      <c r="T2">
        <v>7.8329337690837679</v>
      </c>
      <c r="U2">
        <v>8.2295530422256302</v>
      </c>
      <c r="V2">
        <v>8.6191317498791751</v>
      </c>
      <c r="W2">
        <v>9.0017149616547254</v>
      </c>
    </row>
    <row r="3" spans="2:23" x14ac:dyDescent="0.35">
      <c r="C3">
        <v>2025</v>
      </c>
      <c r="D3">
        <v>0.52696343850861571</v>
      </c>
      <c r="E3">
        <v>1.046869365882747</v>
      </c>
      <c r="F3">
        <v>1.5597360741229473</v>
      </c>
      <c r="G3">
        <v>2.0653809278100139</v>
      </c>
      <c r="H3">
        <v>2.5637419450047183</v>
      </c>
      <c r="I3">
        <v>3.0547684740357472</v>
      </c>
      <c r="J3">
        <v>3.5384205328456519</v>
      </c>
      <c r="K3">
        <v>4.0146681789841026</v>
      </c>
      <c r="L3">
        <v>4.483490908964578</v>
      </c>
      <c r="M3">
        <v>4.9448770857513429</v>
      </c>
      <c r="N3">
        <v>5.3988233931924077</v>
      </c>
      <c r="O3">
        <v>5.8453343162611278</v>
      </c>
      <c r="P3">
        <v>6.2844216460142315</v>
      </c>
      <c r="Q3">
        <v>6.716104008217564</v>
      </c>
      <c r="R3">
        <v>7.1404776421642824</v>
      </c>
      <c r="S3">
        <v>7.5575000156404668</v>
      </c>
      <c r="T3">
        <v>7.96720772479601</v>
      </c>
      <c r="U3">
        <v>8.3696425298021211</v>
      </c>
      <c r="V3">
        <v>8.7648509875662644</v>
      </c>
      <c r="W3">
        <v>9.152884102643462</v>
      </c>
    </row>
    <row r="4" spans="2:23" x14ac:dyDescent="0.35">
      <c r="C4">
        <v>2026</v>
      </c>
      <c r="D4">
        <v>0.53706282297747754</v>
      </c>
      <c r="E4">
        <v>1.0668541325896042</v>
      </c>
      <c r="F4">
        <v>1.5891852664483439</v>
      </c>
      <c r="G4">
        <v>2.1039921972104731</v>
      </c>
      <c r="H4">
        <v>2.6112226016995259</v>
      </c>
      <c r="I4">
        <v>3.1108351784501576</v>
      </c>
      <c r="J4">
        <v>3.6027989969111776</v>
      </c>
      <c r="K4">
        <v>4.0870928769810089</v>
      </c>
      <c r="L4">
        <v>4.5637047976017362</v>
      </c>
      <c r="M4">
        <v>5.0326313331883563</v>
      </c>
      <c r="N4">
        <v>5.4938771167183438</v>
      </c>
      <c r="O4">
        <v>5.9474543283532988</v>
      </c>
      <c r="P4">
        <v>6.3933822085093404</v>
      </c>
      <c r="Q4">
        <v>6.8317601723763</v>
      </c>
      <c r="R4">
        <v>7.2625442841771983</v>
      </c>
      <c r="S4">
        <v>7.6857723477348729</v>
      </c>
      <c r="T4">
        <v>8.1014875013061847</v>
      </c>
      <c r="U4">
        <v>8.5097378381765463</v>
      </c>
      <c r="V4">
        <v>8.9105760460512915</v>
      </c>
      <c r="W4">
        <v>9.3040590644301346</v>
      </c>
    </row>
    <row r="6" spans="2:23" x14ac:dyDescent="0.35">
      <c r="B6" t="s">
        <v>410</v>
      </c>
      <c r="C6">
        <v>2024</v>
      </c>
      <c r="D6">
        <v>0.45121521102664958</v>
      </c>
      <c r="E6">
        <v>0.89655096589269756</v>
      </c>
      <c r="F6">
        <v>1.3359224321214804</v>
      </c>
      <c r="G6">
        <v>1.7693450682463212</v>
      </c>
      <c r="H6">
        <v>2.1966645294373288</v>
      </c>
      <c r="I6">
        <v>2.6178284348808116</v>
      </c>
      <c r="J6">
        <v>3.0327939789499827</v>
      </c>
      <c r="K6">
        <v>3.4415273728875313</v>
      </c>
      <c r="L6">
        <v>3.8440033123881765</v>
      </c>
      <c r="M6">
        <v>4.2402044699961969</v>
      </c>
      <c r="N6">
        <v>4.6301210112758131</v>
      </c>
      <c r="O6">
        <v>5.0137501337535708</v>
      </c>
      <c r="P6">
        <v>5.3910956276715378</v>
      </c>
      <c r="Q6">
        <v>5.7621674576283297</v>
      </c>
      <c r="R6">
        <v>6.1269813642216553</v>
      </c>
      <c r="S6">
        <v>6.4856186790869437</v>
      </c>
      <c r="T6">
        <v>6.8380434583347203</v>
      </c>
      <c r="U6">
        <v>7.1842866292985432</v>
      </c>
      <c r="V6">
        <v>7.5243834834161323</v>
      </c>
      <c r="W6">
        <v>7.8583733658374797</v>
      </c>
    </row>
    <row r="7" spans="2:23" x14ac:dyDescent="0.35">
      <c r="C7">
        <v>2025</v>
      </c>
      <c r="D7">
        <v>0.46003183477662751</v>
      </c>
      <c r="E7">
        <v>0.91390255939095999</v>
      </c>
      <c r="F7">
        <v>1.3616281425079206</v>
      </c>
      <c r="G7">
        <v>1.8030491459182314</v>
      </c>
      <c r="H7">
        <v>2.238111460241349</v>
      </c>
      <c r="I7">
        <v>2.6667708672648023</v>
      </c>
      <c r="J7">
        <v>3.0889924632022896</v>
      </c>
      <c r="K7">
        <v>3.5047501087064563</v>
      </c>
      <c r="L7">
        <v>3.9140259045155412</v>
      </c>
      <c r="M7">
        <v>4.3168096916573857</v>
      </c>
      <c r="N7">
        <v>4.7130985751769092</v>
      </c>
      <c r="O7">
        <v>5.1028964703941693</v>
      </c>
      <c r="P7">
        <v>5.4862136707395353</v>
      </c>
      <c r="Q7">
        <v>5.863066436250441</v>
      </c>
      <c r="R7">
        <v>6.2335387825062849</v>
      </c>
      <c r="S7">
        <v>6.5975935794692369</v>
      </c>
      <c r="T7">
        <v>6.9552627750748668</v>
      </c>
      <c r="U7">
        <v>7.3065828253783351</v>
      </c>
      <c r="V7">
        <v>7.651594373919588</v>
      </c>
      <c r="W7">
        <v>7.990341946973718</v>
      </c>
    </row>
    <row r="8" spans="2:23" x14ac:dyDescent="0.35">
      <c r="C8">
        <v>2026</v>
      </c>
      <c r="D8">
        <v>0.46884845852660545</v>
      </c>
      <c r="E8">
        <v>0.93134898588642567</v>
      </c>
      <c r="F8">
        <v>1.3873368824092762</v>
      </c>
      <c r="G8">
        <v>1.8367562531050563</v>
      </c>
      <c r="H8">
        <v>2.2795614205602837</v>
      </c>
      <c r="I8">
        <v>2.7157163291637083</v>
      </c>
      <c r="J8">
        <v>3.1451939769695123</v>
      </c>
      <c r="K8">
        <v>3.5679758740402971</v>
      </c>
      <c r="L8">
        <v>3.9840515261578222</v>
      </c>
      <c r="M8">
        <v>4.3934179428334899</v>
      </c>
      <c r="N8">
        <v>4.7960791685929198</v>
      </c>
      <c r="O8">
        <v>5.1920458365496822</v>
      </c>
      <c r="P8">
        <v>5.5813347433224463</v>
      </c>
      <c r="Q8">
        <v>5.9640326770047327</v>
      </c>
      <c r="R8">
        <v>6.3401012822674616</v>
      </c>
      <c r="S8">
        <v>6.7095735613280763</v>
      </c>
      <c r="T8">
        <v>7.0724871732915586</v>
      </c>
      <c r="U8">
        <v>7.4288841029346733</v>
      </c>
      <c r="V8">
        <v>7.7788103458995899</v>
      </c>
      <c r="W8">
        <v>8.1223156095865043</v>
      </c>
    </row>
    <row r="10" spans="2:23" x14ac:dyDescent="0.35">
      <c r="B10" t="s">
        <v>411</v>
      </c>
      <c r="C10">
        <v>2024</v>
      </c>
      <c r="D10">
        <v>3.4154399999999998</v>
      </c>
      <c r="E10">
        <v>6.776325537270087</v>
      </c>
      <c r="F10">
        <v>10.083528004486974</v>
      </c>
      <c r="G10">
        <v>13.337904875664094</v>
      </c>
      <c r="H10">
        <v>16.540299928472944</v>
      </c>
      <c r="I10">
        <v>19.691543463013311</v>
      </c>
      <c r="J10">
        <v>22.792452517089092</v>
      </c>
      <c r="K10">
        <v>25.843831078045561</v>
      </c>
      <c r="L10">
        <v>28.846470291222957</v>
      </c>
      <c r="M10">
        <v>31.801148665080483</v>
      </c>
      <c r="N10">
        <v>34.708632273043868</v>
      </c>
      <c r="O10">
        <v>37.569674952128842</v>
      </c>
      <c r="P10">
        <v>40.385018498392036</v>
      </c>
      <c r="Q10">
        <v>43.155392859259933</v>
      </c>
      <c r="R10">
        <v>45.881516322785799</v>
      </c>
      <c r="S10">
        <v>48.564095703883609</v>
      </c>
      <c r="T10">
        <v>51.20382652758731</v>
      </c>
      <c r="U10">
        <v>53.801393209382873</v>
      </c>
      <c r="V10">
        <v>56.357469232659916</v>
      </c>
      <c r="W10">
        <v>58.872717323328956</v>
      </c>
    </row>
    <row r="11" spans="2:23" x14ac:dyDescent="0.35">
      <c r="C11">
        <v>2025</v>
      </c>
      <c r="D11">
        <v>3.4717947599999999</v>
      </c>
      <c r="E11">
        <v>6.8881349086350436</v>
      </c>
      <c r="F11">
        <v>10.249906216561008</v>
      </c>
      <c r="G11">
        <v>13.557980306112551</v>
      </c>
      <c r="H11">
        <v>16.813214877292747</v>
      </c>
      <c r="I11">
        <v>20.016453930153027</v>
      </c>
      <c r="J11">
        <v>23.168527983621058</v>
      </c>
      <c r="K11">
        <v>26.270254290833307</v>
      </c>
      <c r="L11">
        <v>29.322437051028132</v>
      </c>
      <c r="M11">
        <v>32.325867618054303</v>
      </c>
      <c r="N11">
        <v>35.281324705549082</v>
      </c>
      <c r="O11">
        <v>38.189574588838958</v>
      </c>
      <c r="P11">
        <v>41.051371303615497</v>
      </c>
      <c r="Q11">
        <v>43.867456841437715</v>
      </c>
      <c r="R11">
        <v>46.638561342111757</v>
      </c>
      <c r="S11">
        <v>49.365403282997683</v>
      </c>
      <c r="T11">
        <v>52.0486896652925</v>
      </c>
      <c r="U11">
        <v>54.68911619733769</v>
      </c>
      <c r="V11">
        <v>57.28736747499881</v>
      </c>
      <c r="W11">
        <v>59.844117159163886</v>
      </c>
    </row>
    <row r="12" spans="2:23" x14ac:dyDescent="0.35">
      <c r="C12">
        <v>2026</v>
      </c>
      <c r="D12">
        <v>3.5290793735399997</v>
      </c>
      <c r="E12">
        <v>7.0017891346275212</v>
      </c>
      <c r="F12">
        <v>10.419029669134265</v>
      </c>
      <c r="G12">
        <v>13.781686981163407</v>
      </c>
      <c r="H12">
        <v>17.090632922768076</v>
      </c>
      <c r="I12">
        <v>20.346725420000553</v>
      </c>
      <c r="J12">
        <v>23.550808695350806</v>
      </c>
      <c r="K12">
        <v>26.703713486632058</v>
      </c>
      <c r="L12">
        <v>29.806257262370096</v>
      </c>
      <c r="M12">
        <v>32.859244433752202</v>
      </c>
      <c r="N12">
        <v>35.863466563190649</v>
      </c>
      <c r="O12">
        <v>38.819702569554806</v>
      </c>
      <c r="P12">
        <v>41.728718930125154</v>
      </c>
      <c r="Q12">
        <v>44.591269879321437</v>
      </c>
      <c r="R12">
        <v>47.408097604256596</v>
      </c>
      <c r="S12">
        <v>50.179932437167139</v>
      </c>
      <c r="T12">
        <v>52.907493044769815</v>
      </c>
      <c r="U12">
        <v>55.591486614593748</v>
      </c>
      <c r="V12">
        <v>58.232609038336271</v>
      </c>
      <c r="W12">
        <v>60.831545092290071</v>
      </c>
    </row>
    <row r="14" spans="2:23" x14ac:dyDescent="0.35">
      <c r="B14" t="s">
        <v>412</v>
      </c>
      <c r="C14">
        <v>2024</v>
      </c>
      <c r="D14">
        <v>4.20831</v>
      </c>
      <c r="E14">
        <v>8.3494011084220716</v>
      </c>
      <c r="F14">
        <v>12.424347005528594</v>
      </c>
      <c r="G14">
        <v>16.434204221800403</v>
      </c>
      <c r="H14">
        <v>20.380012411868453</v>
      </c>
      <c r="I14">
        <v>24.262794624069976</v>
      </c>
      <c r="J14">
        <v>28.083557565699063</v>
      </c>
      <c r="K14">
        <v>31.843291864020429</v>
      </c>
      <c r="L14">
        <v>35.542972323114007</v>
      </c>
      <c r="M14">
        <v>39.183558176617034</v>
      </c>
      <c r="N14">
        <v>42.765993336429062</v>
      </c>
      <c r="O14">
        <v>46.291206637444482</v>
      </c>
      <c r="P14">
        <v>49.760112078375919</v>
      </c>
      <c r="Q14">
        <v>53.173609058731003</v>
      </c>
      <c r="R14">
        <v>56.532582612003942</v>
      </c>
      <c r="S14">
        <v>59.837903635142318</v>
      </c>
      <c r="T14">
        <v>63.090429114348666</v>
      </c>
      <c r="U14">
        <v>66.291002347275338</v>
      </c>
      <c r="V14">
        <v>69.440453161670277</v>
      </c>
      <c r="W14">
        <v>72.539598130530351</v>
      </c>
    </row>
    <row r="15" spans="2:23" x14ac:dyDescent="0.35">
      <c r="C15">
        <v>2025</v>
      </c>
      <c r="D15">
        <v>4.2777471150000004</v>
      </c>
      <c r="E15">
        <v>8.4871662267110359</v>
      </c>
      <c r="F15">
        <v>12.629348731119816</v>
      </c>
      <c r="G15">
        <v>16.705368591460111</v>
      </c>
      <c r="H15">
        <v>20.716282616664284</v>
      </c>
      <c r="I15">
        <v>24.663130735367133</v>
      </c>
      <c r="J15">
        <v>28.546936265533102</v>
      </c>
      <c r="K15">
        <v>32.368706179776765</v>
      </c>
      <c r="L15">
        <v>36.129431366445388</v>
      </c>
      <c r="M15">
        <v>39.830086886531213</v>
      </c>
      <c r="N15">
        <v>43.471632226480139</v>
      </c>
      <c r="O15">
        <v>47.055011546962312</v>
      </c>
      <c r="P15">
        <v>50.581153927669114</v>
      </c>
      <c r="Q15">
        <v>54.05097360820006</v>
      </c>
      <c r="R15">
        <v>57.465370225101999</v>
      </c>
      <c r="S15">
        <v>60.825229045122157</v>
      </c>
      <c r="T15">
        <v>64.13142119473541</v>
      </c>
      <c r="U15">
        <v>67.384803886005372</v>
      </c>
      <c r="V15">
        <v>70.586220638837815</v>
      </c>
      <c r="W15">
        <v>73.736501499684067</v>
      </c>
    </row>
    <row r="16" spans="2:23" x14ac:dyDescent="0.35">
      <c r="C16">
        <v>2026</v>
      </c>
      <c r="D16">
        <v>4.3483299423975001</v>
      </c>
      <c r="E16">
        <v>8.6272044694517689</v>
      </c>
      <c r="F16">
        <v>12.837732985183294</v>
      </c>
      <c r="G16">
        <v>16.981007173219204</v>
      </c>
      <c r="H16">
        <v>21.058101279839246</v>
      </c>
      <c r="I16">
        <v>25.070072392500691</v>
      </c>
      <c r="J16">
        <v>29.017960713914398</v>
      </c>
      <c r="K16">
        <v>32.902789831743085</v>
      </c>
      <c r="L16">
        <v>36.72556698399174</v>
      </c>
      <c r="M16">
        <v>40.48728332015898</v>
      </c>
      <c r="N16">
        <v>44.188914158217059</v>
      </c>
      <c r="O16">
        <v>47.831419237487189</v>
      </c>
      <c r="P16">
        <v>51.415742967475651</v>
      </c>
      <c r="Q16">
        <v>54.942814672735359</v>
      </c>
      <c r="R16">
        <v>58.413548833816179</v>
      </c>
      <c r="S16">
        <v>61.828845324366668</v>
      </c>
      <c r="T16">
        <v>65.189589644448546</v>
      </c>
      <c r="U16">
        <v>68.496653150124459</v>
      </c>
      <c r="V16">
        <v>71.750893279378644</v>
      </c>
      <c r="W16">
        <v>74.95315377442887</v>
      </c>
    </row>
    <row r="18" spans="2:2" x14ac:dyDescent="0.35">
      <c r="B18" s="2" t="s">
        <v>413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B14E9-1D67-406D-9C08-C71EAF76574A}">
  <dimension ref="B1:X42"/>
  <sheetViews>
    <sheetView workbookViewId="0">
      <selection activeCell="B43" sqref="B43"/>
    </sheetView>
  </sheetViews>
  <sheetFormatPr defaultRowHeight="14.5" x14ac:dyDescent="0.35"/>
  <cols>
    <col min="2" max="2" width="42.54296875" bestFit="1" customWidth="1"/>
    <col min="4" max="4" width="11" bestFit="1" customWidth="1"/>
  </cols>
  <sheetData>
    <row r="1" spans="2:24" x14ac:dyDescent="0.35">
      <c r="E1">
        <v>1</v>
      </c>
      <c r="F1">
        <v>2</v>
      </c>
      <c r="G1">
        <v>3</v>
      </c>
      <c r="H1">
        <v>4</v>
      </c>
      <c r="I1">
        <v>5</v>
      </c>
      <c r="J1">
        <v>6</v>
      </c>
      <c r="K1">
        <v>7</v>
      </c>
      <c r="L1">
        <v>8</v>
      </c>
      <c r="M1">
        <v>9</v>
      </c>
      <c r="N1">
        <v>10</v>
      </c>
      <c r="O1">
        <v>11</v>
      </c>
      <c r="P1">
        <v>12</v>
      </c>
      <c r="Q1">
        <v>13</v>
      </c>
      <c r="R1">
        <v>14</v>
      </c>
      <c r="S1">
        <v>15</v>
      </c>
      <c r="T1">
        <v>16</v>
      </c>
      <c r="U1">
        <v>17</v>
      </c>
      <c r="V1">
        <v>18</v>
      </c>
      <c r="W1">
        <v>19</v>
      </c>
      <c r="X1">
        <v>20</v>
      </c>
    </row>
    <row r="2" spans="2:24" x14ac:dyDescent="0.35">
      <c r="B2" t="s">
        <v>414</v>
      </c>
      <c r="C2">
        <v>2024</v>
      </c>
      <c r="D2" t="s">
        <v>415</v>
      </c>
      <c r="E2">
        <v>0.14701659233611331</v>
      </c>
      <c r="F2">
        <v>0.2885668980384628</v>
      </c>
      <c r="G2">
        <v>0.42599475697763511</v>
      </c>
      <c r="H2">
        <v>0.55908139769149345</v>
      </c>
      <c r="I2">
        <v>0.68707661522251506</v>
      </c>
      <c r="J2">
        <v>0.80949701432188925</v>
      </c>
      <c r="K2">
        <v>0.9266105471689291</v>
      </c>
      <c r="L2">
        <v>1.0394055915103637</v>
      </c>
      <c r="M2">
        <v>1.1481019542233677</v>
      </c>
      <c r="N2">
        <v>1.252872380809624</v>
      </c>
      <c r="O2">
        <v>1.353922022293877</v>
      </c>
      <c r="P2">
        <v>1.4512926341652204</v>
      </c>
      <c r="Q2">
        <v>1.5452213842197249</v>
      </c>
      <c r="R2">
        <v>1.6359587045252615</v>
      </c>
      <c r="S2">
        <v>1.7234195663968566</v>
      </c>
      <c r="T2">
        <v>1.8069677441012644</v>
      </c>
      <c r="U2">
        <v>1.8870916240980582</v>
      </c>
      <c r="V2">
        <v>1.9644403020190553</v>
      </c>
      <c r="W2">
        <v>2.0388744786830006</v>
      </c>
      <c r="X2">
        <v>2.1101256033879769</v>
      </c>
    </row>
    <row r="3" spans="2:24" x14ac:dyDescent="0.35">
      <c r="C3">
        <v>2025</v>
      </c>
      <c r="D3" t="s">
        <v>415</v>
      </c>
      <c r="E3">
        <v>0.14959871665858113</v>
      </c>
      <c r="F3">
        <v>0.29484058829161042</v>
      </c>
      <c r="G3">
        <v>0.43549440430710229</v>
      </c>
      <c r="H3">
        <v>0.57076730383259544</v>
      </c>
      <c r="I3">
        <v>0.7001484062415726</v>
      </c>
      <c r="J3">
        <v>0.82392089921033163</v>
      </c>
      <c r="K3">
        <v>0.94312935867073611</v>
      </c>
      <c r="L3">
        <v>1.0580060895024885</v>
      </c>
      <c r="M3">
        <v>1.1687336593463444</v>
      </c>
      <c r="N3">
        <v>1.2755288839122427</v>
      </c>
      <c r="O3">
        <v>1.3784358928652582</v>
      </c>
      <c r="P3">
        <v>1.477705339128738</v>
      </c>
      <c r="Q3">
        <v>1.5736018940912584</v>
      </c>
      <c r="R3">
        <v>1.6660356944205703</v>
      </c>
      <c r="S3">
        <v>1.7543343392149138</v>
      </c>
      <c r="T3">
        <v>1.8390139841068962</v>
      </c>
      <c r="U3">
        <v>1.9207606316666057</v>
      </c>
      <c r="V3">
        <v>1.9994270622985497</v>
      </c>
      <c r="W3">
        <v>2.0747294557724203</v>
      </c>
      <c r="X3">
        <v>2.1468633676595887</v>
      </c>
    </row>
    <row r="4" spans="2:24" x14ac:dyDescent="0.35">
      <c r="C4">
        <v>2026</v>
      </c>
      <c r="D4" t="s">
        <v>415</v>
      </c>
      <c r="E4">
        <v>0.15350018139191424</v>
      </c>
      <c r="F4">
        <v>0.30215143484307871</v>
      </c>
      <c r="G4">
        <v>0.44511581819278612</v>
      </c>
      <c r="H4">
        <v>0.58185340264530905</v>
      </c>
      <c r="I4">
        <v>0.71266347764928184</v>
      </c>
      <c r="J4">
        <v>0.83865001269515416</v>
      </c>
      <c r="K4">
        <v>0.96005852128926994</v>
      </c>
      <c r="L4">
        <v>1.0770819516886103</v>
      </c>
      <c r="M4">
        <v>1.1899494475308194</v>
      </c>
      <c r="N4">
        <v>1.298707647650261</v>
      </c>
      <c r="O4">
        <v>1.4036214568486121</v>
      </c>
      <c r="P4">
        <v>1.5049705954689041</v>
      </c>
      <c r="Q4">
        <v>1.6026600906383313</v>
      </c>
      <c r="R4">
        <v>1.6959793094021693</v>
      </c>
      <c r="S4">
        <v>1.7854737554938862</v>
      </c>
      <c r="T4">
        <v>1.8718684369139977</v>
      </c>
      <c r="U4">
        <v>1.955007763305822</v>
      </c>
      <c r="V4">
        <v>2.0345917767003163</v>
      </c>
      <c r="W4">
        <v>2.1108271517660198</v>
      </c>
      <c r="X4">
        <v>2.1840216751135446</v>
      </c>
    </row>
    <row r="6" spans="2:24" x14ac:dyDescent="0.35">
      <c r="B6" t="s">
        <v>416</v>
      </c>
      <c r="C6">
        <v>2024</v>
      </c>
      <c r="D6" t="s">
        <v>415</v>
      </c>
      <c r="E6">
        <v>0.14701659233611331</v>
      </c>
      <c r="F6">
        <v>0.29167855134496123</v>
      </c>
      <c r="G6">
        <v>0.43521488246254492</v>
      </c>
      <c r="H6">
        <v>0.57727267249047653</v>
      </c>
      <c r="I6">
        <v>0.71689917651371127</v>
      </c>
      <c r="J6">
        <v>0.85337993985375182</v>
      </c>
      <c r="K6">
        <v>0.98681448032626862</v>
      </c>
      <c r="L6">
        <v>1.1181537907913002</v>
      </c>
      <c r="M6">
        <v>1.2475028441187654</v>
      </c>
      <c r="N6">
        <v>1.3749207565655297</v>
      </c>
      <c r="O6">
        <v>1.5005151002299828</v>
      </c>
      <c r="P6">
        <v>1.6241971668080424</v>
      </c>
      <c r="Q6">
        <v>1.7461300680716261</v>
      </c>
      <c r="R6">
        <v>1.8665093765439034</v>
      </c>
      <c r="S6">
        <v>1.9850925798729535</v>
      </c>
      <c r="T6">
        <v>2.1008609548892512</v>
      </c>
      <c r="U6">
        <v>2.2143250509991588</v>
      </c>
      <c r="V6">
        <v>2.3262670121604136</v>
      </c>
      <c r="W6">
        <v>2.4363590562927113</v>
      </c>
      <c r="X6">
        <v>2.5440598245263915</v>
      </c>
    </row>
    <row r="7" spans="2:24" x14ac:dyDescent="0.35">
      <c r="C7">
        <v>2025</v>
      </c>
      <c r="D7" t="s">
        <v>415</v>
      </c>
      <c r="E7">
        <v>0.14959871665858113</v>
      </c>
      <c r="F7">
        <v>0.2980333920645622</v>
      </c>
      <c r="G7">
        <v>0.44493906944608397</v>
      </c>
      <c r="H7">
        <v>0.58933049035946017</v>
      </c>
      <c r="I7">
        <v>0.73046881852909873</v>
      </c>
      <c r="J7">
        <v>0.8684569679319083</v>
      </c>
      <c r="K7">
        <v>1.0042783851656536</v>
      </c>
      <c r="L7">
        <v>1.138041625421564</v>
      </c>
      <c r="M7">
        <v>1.2698078223675457</v>
      </c>
      <c r="N7">
        <v>1.3996882191249946</v>
      </c>
      <c r="O7">
        <v>1.5275910801157493</v>
      </c>
      <c r="P7">
        <v>1.6536850834907064</v>
      </c>
      <c r="Q7">
        <v>1.7781724759129167</v>
      </c>
      <c r="R7">
        <v>1.9008024690143128</v>
      </c>
      <c r="S7">
        <v>2.0205215745120353</v>
      </c>
      <c r="T7">
        <v>2.1378577649049078</v>
      </c>
      <c r="U7">
        <v>2.2536198757231651</v>
      </c>
      <c r="V7">
        <v>2.3674689389416734</v>
      </c>
      <c r="W7">
        <v>2.4788451211895333</v>
      </c>
      <c r="X7">
        <v>2.5878802803974281</v>
      </c>
    </row>
    <row r="8" spans="2:24" x14ac:dyDescent="0.35">
      <c r="C8">
        <v>2026</v>
      </c>
      <c r="D8" t="s">
        <v>415</v>
      </c>
      <c r="E8">
        <v>0.15350018139191424</v>
      </c>
      <c r="F8">
        <v>0.30541918592296058</v>
      </c>
      <c r="G8">
        <v>0.45473813205882013</v>
      </c>
      <c r="H8">
        <v>0.60069296987644016</v>
      </c>
      <c r="I8">
        <v>0.74339012541192062</v>
      </c>
      <c r="J8">
        <v>0.88384660652230862</v>
      </c>
      <c r="K8">
        <v>1.0221746729710266</v>
      </c>
      <c r="L8">
        <v>1.1584375446835207</v>
      </c>
      <c r="M8">
        <v>1.2927502610821233</v>
      </c>
      <c r="N8">
        <v>1.4250179560053442</v>
      </c>
      <c r="O8">
        <v>1.5554150639422182</v>
      </c>
      <c r="P8">
        <v>1.6841507334584644</v>
      </c>
      <c r="Q8">
        <v>1.8109656177411906</v>
      </c>
      <c r="R8">
        <v>1.9347702769942643</v>
      </c>
      <c r="S8">
        <v>2.0561107013922708</v>
      </c>
      <c r="T8">
        <v>2.1758233289189075</v>
      </c>
      <c r="U8">
        <v>2.2935576238708295</v>
      </c>
      <c r="V8">
        <v>2.4087346479120493</v>
      </c>
      <c r="W8">
        <v>2.5214907587785382</v>
      </c>
      <c r="X8">
        <v>2.6321291020702047</v>
      </c>
    </row>
    <row r="10" spans="2:24" x14ac:dyDescent="0.35">
      <c r="B10" t="s">
        <v>417</v>
      </c>
      <c r="C10">
        <v>2024</v>
      </c>
      <c r="D10" t="s">
        <v>415</v>
      </c>
      <c r="E10">
        <v>1.3716964280597042E-2</v>
      </c>
      <c r="F10">
        <v>2.2643013625823282E-2</v>
      </c>
      <c r="G10">
        <v>3.1090204228881542E-2</v>
      </c>
      <c r="H10">
        <v>3.9180207543949713E-2</v>
      </c>
      <c r="I10">
        <v>4.6675228530144018E-2</v>
      </c>
      <c r="J10">
        <v>5.3611061612297381E-2</v>
      </c>
      <c r="K10">
        <v>5.8177885794686038E-2</v>
      </c>
      <c r="L10">
        <v>6.247082979064391E-2</v>
      </c>
      <c r="M10">
        <v>6.6143975238783043E-2</v>
      </c>
      <c r="N10">
        <v>7.1218444519261931E-2</v>
      </c>
      <c r="O10">
        <v>7.6575466556894692E-2</v>
      </c>
      <c r="P10">
        <v>8.2609569775318775E-2</v>
      </c>
      <c r="Q10">
        <v>8.8116683180352762E-2</v>
      </c>
      <c r="R10">
        <v>9.3078761003243207E-2</v>
      </c>
      <c r="S10">
        <v>9.7815570549848518E-2</v>
      </c>
      <c r="T10">
        <v>0.10238452290466889</v>
      </c>
      <c r="U10">
        <v>0.1070596322616016</v>
      </c>
      <c r="V10">
        <v>0.1116537184714621</v>
      </c>
      <c r="W10">
        <v>0.11587825923092776</v>
      </c>
      <c r="X10">
        <v>0.11980346372225355</v>
      </c>
    </row>
    <row r="11" spans="2:24" x14ac:dyDescent="0.35">
      <c r="C11">
        <v>2025</v>
      </c>
      <c r="D11" t="s">
        <v>415</v>
      </c>
      <c r="E11">
        <v>9.2206089736187064E-3</v>
      </c>
      <c r="F11">
        <v>1.7946556866577888E-2</v>
      </c>
      <c r="G11">
        <v>2.630353029104331E-2</v>
      </c>
      <c r="H11">
        <v>3.4045886969782023E-2</v>
      </c>
      <c r="I11">
        <v>4.1210602543646446E-2</v>
      </c>
      <c r="J11">
        <v>4.5928131924053928E-2</v>
      </c>
      <c r="K11">
        <v>5.0362743071878407E-2</v>
      </c>
      <c r="L11">
        <v>5.4157102319806125E-2</v>
      </c>
      <c r="M11">
        <v>5.9399029086540815E-2</v>
      </c>
      <c r="N11">
        <v>6.4932832851415462E-2</v>
      </c>
      <c r="O11">
        <v>7.1166061476047537E-2</v>
      </c>
      <c r="P11">
        <v>7.685490962344764E-2</v>
      </c>
      <c r="Q11">
        <v>8.1980736014493474E-2</v>
      </c>
      <c r="R11">
        <v>8.6873860276136763E-2</v>
      </c>
      <c r="S11">
        <v>9.1593588058666214E-2</v>
      </c>
      <c r="T11">
        <v>9.6422976024377716E-2</v>
      </c>
      <c r="U11">
        <v>0.10116866707916362</v>
      </c>
      <c r="V11">
        <v>0.10553261768369165</v>
      </c>
      <c r="W11">
        <v>0.1095873539232312</v>
      </c>
      <c r="X11">
        <v>0.11375397195428766</v>
      </c>
    </row>
    <row r="12" spans="2:24" x14ac:dyDescent="0.35">
      <c r="C12">
        <v>2026</v>
      </c>
      <c r="D12" t="s">
        <v>415</v>
      </c>
      <c r="E12">
        <v>9.0139041734268316E-3</v>
      </c>
      <c r="F12">
        <v>1.764665772089961E-2</v>
      </c>
      <c r="G12">
        <v>2.5644512170036701E-2</v>
      </c>
      <c r="H12">
        <v>3.304566335783865E-2</v>
      </c>
      <c r="I12">
        <v>3.7918871207799576E-2</v>
      </c>
      <c r="J12">
        <v>4.2499824523502261E-2</v>
      </c>
      <c r="K12">
        <v>4.6419397626611597E-2</v>
      </c>
      <c r="L12">
        <v>5.1834307976648529E-2</v>
      </c>
      <c r="M12">
        <v>5.7550727265764039E-2</v>
      </c>
      <c r="N12">
        <v>6.3989652435008981E-2</v>
      </c>
      <c r="O12">
        <v>6.9866232571273293E-2</v>
      </c>
      <c r="P12">
        <v>7.516121123322364E-2</v>
      </c>
      <c r="Q12">
        <v>8.0215808595501148E-2</v>
      </c>
      <c r="R12">
        <v>8.5091287394854068E-2</v>
      </c>
      <c r="S12">
        <v>9.0080045163434042E-2</v>
      </c>
      <c r="T12">
        <v>9.4982344023027881E-2</v>
      </c>
      <c r="U12">
        <v>9.949030499750533E-2</v>
      </c>
      <c r="V12">
        <v>0.10367884753294968</v>
      </c>
      <c r="W12">
        <v>0.10798296395903099</v>
      </c>
      <c r="X12">
        <v>0.11206556957186346</v>
      </c>
    </row>
    <row r="14" spans="2:24" x14ac:dyDescent="0.35">
      <c r="B14" t="s">
        <v>418</v>
      </c>
      <c r="C14">
        <v>2024</v>
      </c>
      <c r="D14" t="s">
        <v>415</v>
      </c>
      <c r="E14">
        <v>3.1834926152952595E-2</v>
      </c>
      <c r="F14">
        <v>7.5573269626417416E-2</v>
      </c>
      <c r="G14">
        <v>0.11860773437201372</v>
      </c>
      <c r="H14">
        <v>0.15996337518389842</v>
      </c>
      <c r="I14">
        <v>0.19900579466213167</v>
      </c>
      <c r="J14">
        <v>0.23656836906072423</v>
      </c>
      <c r="K14">
        <v>0.2695802896038042</v>
      </c>
      <c r="L14">
        <v>0.30165420447648317</v>
      </c>
      <c r="M14">
        <v>0.33152908238285494</v>
      </c>
      <c r="N14">
        <v>0.36396526861313594</v>
      </c>
      <c r="O14">
        <v>0.39536311699841803</v>
      </c>
      <c r="P14">
        <v>0.42774929145824858</v>
      </c>
      <c r="Q14">
        <v>0.45853504162030995</v>
      </c>
      <c r="R14">
        <v>0.48877103740603717</v>
      </c>
      <c r="S14">
        <v>0.51853704285905966</v>
      </c>
      <c r="T14">
        <v>0.54737493150084826</v>
      </c>
      <c r="U14">
        <v>0.5752695056855619</v>
      </c>
      <c r="V14">
        <v>0.60366899233542604</v>
      </c>
      <c r="W14">
        <v>0.63059372729444974</v>
      </c>
      <c r="X14">
        <v>0.65726363687233014</v>
      </c>
    </row>
    <row r="15" spans="2:24" x14ac:dyDescent="0.35">
      <c r="C15">
        <v>2025</v>
      </c>
      <c r="D15" t="s">
        <v>415</v>
      </c>
      <c r="E15">
        <v>4.5230965329332816E-2</v>
      </c>
      <c r="F15">
        <v>8.9734031250321741E-2</v>
      </c>
      <c r="G15">
        <v>0.13250098141773095</v>
      </c>
      <c r="H15">
        <v>0.17287576888229481</v>
      </c>
      <c r="I15">
        <v>0.21172020983223541</v>
      </c>
      <c r="J15">
        <v>0.24585870056965009</v>
      </c>
      <c r="K15">
        <v>0.27902717510189307</v>
      </c>
      <c r="L15">
        <v>0.30992156797301174</v>
      </c>
      <c r="M15">
        <v>0.34346467679439852</v>
      </c>
      <c r="N15">
        <v>0.37593401328383191</v>
      </c>
      <c r="O15">
        <v>0.4094254036249183</v>
      </c>
      <c r="P15">
        <v>0.44126175332715345</v>
      </c>
      <c r="Q15">
        <v>0.47252958764538222</v>
      </c>
      <c r="R15">
        <v>0.50331139266401981</v>
      </c>
      <c r="S15">
        <v>0.53313340780547647</v>
      </c>
      <c r="T15">
        <v>0.561979916786566</v>
      </c>
      <c r="U15">
        <v>0.5913485689580904</v>
      </c>
      <c r="V15">
        <v>0.6191921418216102</v>
      </c>
      <c r="W15">
        <v>0.64677219309139344</v>
      </c>
      <c r="X15">
        <v>0.67460697633356281</v>
      </c>
    </row>
    <row r="16" spans="2:24" x14ac:dyDescent="0.35">
      <c r="C16">
        <v>2026</v>
      </c>
      <c r="D16" t="s">
        <v>415</v>
      </c>
      <c r="E16">
        <v>4.60217848200506E-2</v>
      </c>
      <c r="F16">
        <v>9.0248206916647505E-2</v>
      </c>
      <c r="G16">
        <v>0.13200083097514168</v>
      </c>
      <c r="H16">
        <v>0.17217088366380828</v>
      </c>
      <c r="I16">
        <v>0.20747439011408197</v>
      </c>
      <c r="J16">
        <v>0.24177477742767348</v>
      </c>
      <c r="K16">
        <v>0.27372347739780656</v>
      </c>
      <c r="L16">
        <v>0.3084112838315054</v>
      </c>
      <c r="M16">
        <v>0.34198867420320489</v>
      </c>
      <c r="N16">
        <v>0.37662299720329423</v>
      </c>
      <c r="O16">
        <v>0.40954579937727059</v>
      </c>
      <c r="P16">
        <v>0.44188068491835514</v>
      </c>
      <c r="Q16">
        <v>0.47371295484455739</v>
      </c>
      <c r="R16">
        <v>0.50455268094740813</v>
      </c>
      <c r="S16">
        <v>0.53438361060727324</v>
      </c>
      <c r="T16">
        <v>0.564754502201404</v>
      </c>
      <c r="U16">
        <v>0.59354826938187955</v>
      </c>
      <c r="V16">
        <v>0.62206952198765331</v>
      </c>
      <c r="W16">
        <v>0.65085419959072399</v>
      </c>
      <c r="X16">
        <v>0.67866573513032591</v>
      </c>
    </row>
    <row r="18" spans="2:24" x14ac:dyDescent="0.35">
      <c r="B18" t="s">
        <v>419</v>
      </c>
      <c r="C18">
        <v>2024</v>
      </c>
      <c r="D18" t="s">
        <v>415</v>
      </c>
      <c r="E18">
        <v>3.1834926152952595E-2</v>
      </c>
      <c r="F18">
        <v>7.4632465547567306E-2</v>
      </c>
      <c r="G18">
        <v>0.11583551361583501</v>
      </c>
      <c r="H18">
        <v>0.15457948752349962</v>
      </c>
      <c r="I18">
        <v>0.19036956197256186</v>
      </c>
      <c r="J18">
        <v>0.22406240803042504</v>
      </c>
      <c r="K18">
        <v>0.25303648496114423</v>
      </c>
      <c r="L18">
        <v>0.28058176928963502</v>
      </c>
      <c r="M18">
        <v>0.30568663462403156</v>
      </c>
      <c r="N18">
        <v>0.33235755555595031</v>
      </c>
      <c r="O18">
        <v>0.3576193725306559</v>
      </c>
      <c r="P18">
        <v>0.38311588718773859</v>
      </c>
      <c r="Q18">
        <v>0.40683111910829906</v>
      </c>
      <c r="R18">
        <v>0.42962185672911041</v>
      </c>
      <c r="S18">
        <v>0.45157572893284931</v>
      </c>
      <c r="T18">
        <v>0.47238757020232292</v>
      </c>
      <c r="U18">
        <v>0.49208562087354751</v>
      </c>
      <c r="V18">
        <v>0.51170884993988175</v>
      </c>
      <c r="W18">
        <v>0.52991289451336177</v>
      </c>
      <c r="X18">
        <v>0.54755678957900289</v>
      </c>
    </row>
    <row r="19" spans="2:24" x14ac:dyDescent="0.35">
      <c r="C19">
        <v>2025</v>
      </c>
      <c r="D19" t="s">
        <v>415</v>
      </c>
      <c r="E19">
        <v>4.5230965329332816E-2</v>
      </c>
      <c r="F19">
        <v>8.8776778126064687E-2</v>
      </c>
      <c r="G19">
        <v>0.12972369622759142</v>
      </c>
      <c r="H19">
        <v>0.16754875905686878</v>
      </c>
      <c r="I19">
        <v>0.20315734715437794</v>
      </c>
      <c r="J19">
        <v>0.23377886156012639</v>
      </c>
      <c r="K19">
        <v>0.26289034362363389</v>
      </c>
      <c r="L19">
        <v>0.28942264687283764</v>
      </c>
      <c r="M19">
        <v>0.31761005009828547</v>
      </c>
      <c r="N19">
        <v>0.34430822910346998</v>
      </c>
      <c r="O19">
        <v>0.37125445047007605</v>
      </c>
      <c r="P19">
        <v>0.39631810711831161</v>
      </c>
      <c r="Q19">
        <v>0.42040470363153437</v>
      </c>
      <c r="R19">
        <v>0.44360685138437617</v>
      </c>
      <c r="S19">
        <v>0.46560203344892237</v>
      </c>
      <c r="T19">
        <v>0.48642009587887863</v>
      </c>
      <c r="U19">
        <v>0.50715908242118923</v>
      </c>
      <c r="V19">
        <v>0.52639819103826813</v>
      </c>
      <c r="W19">
        <v>0.54504530059823553</v>
      </c>
      <c r="X19">
        <v>0.56345983602309602</v>
      </c>
    </row>
    <row r="20" spans="2:24" x14ac:dyDescent="0.35">
      <c r="C20">
        <v>2026</v>
      </c>
      <c r="D20" t="s">
        <v>415</v>
      </c>
      <c r="E20">
        <v>4.60217848200506E-2</v>
      </c>
      <c r="F20">
        <v>8.9296904352418743E-2</v>
      </c>
      <c r="G20">
        <v>0.12927266299676177</v>
      </c>
      <c r="H20">
        <v>0.16690592033929946</v>
      </c>
      <c r="I20">
        <v>0.19926854389219362</v>
      </c>
      <c r="J20">
        <v>0.2300352761512377</v>
      </c>
      <c r="K20">
        <v>0.25807618002906874</v>
      </c>
      <c r="L20">
        <v>0.28786629123753188</v>
      </c>
      <c r="M20">
        <v>0.31608250240344238</v>
      </c>
      <c r="N20">
        <v>0.34456085937512498</v>
      </c>
      <c r="O20">
        <v>0.37104961085286281</v>
      </c>
      <c r="P20">
        <v>0.39650574751870804</v>
      </c>
      <c r="Q20">
        <v>0.4210271465388325</v>
      </c>
      <c r="R20">
        <v>0.4442729529904772</v>
      </c>
      <c r="S20">
        <v>0.46627470994456327</v>
      </c>
      <c r="T20">
        <v>0.48819289483392131</v>
      </c>
      <c r="U20">
        <v>0.5085259202165876</v>
      </c>
      <c r="V20">
        <v>0.52823328605886977</v>
      </c>
      <c r="W20">
        <v>0.54769485382980665</v>
      </c>
      <c r="X20">
        <v>0.5660940093740785</v>
      </c>
    </row>
    <row r="22" spans="2:24" x14ac:dyDescent="0.35">
      <c r="B22" t="s">
        <v>420</v>
      </c>
      <c r="C22">
        <v>2024</v>
      </c>
      <c r="D22" t="s">
        <v>415</v>
      </c>
      <c r="E22">
        <v>0.59561286498467392</v>
      </c>
      <c r="F22">
        <v>0.98831341752380109</v>
      </c>
      <c r="G22">
        <v>1.3649914022052401</v>
      </c>
      <c r="H22">
        <v>1.7306930390532769</v>
      </c>
      <c r="I22">
        <v>2.0743379960202688</v>
      </c>
      <c r="J22">
        <v>2.3969921661407008</v>
      </c>
      <c r="K22">
        <v>2.61261365902467</v>
      </c>
      <c r="L22">
        <v>2.8183944798807246</v>
      </c>
      <c r="M22">
        <v>2.9972029126993247</v>
      </c>
      <c r="N22">
        <v>3.2481399010766987</v>
      </c>
      <c r="O22">
        <v>3.5173191440167253</v>
      </c>
      <c r="P22">
        <v>3.8254895711774917</v>
      </c>
      <c r="Q22">
        <v>4.1114293951038849</v>
      </c>
      <c r="R22">
        <v>4.3734258284427048</v>
      </c>
      <c r="S22">
        <v>4.6278183453027681</v>
      </c>
      <c r="T22">
        <v>4.8774220050716472</v>
      </c>
      <c r="U22">
        <v>5.1373273025497861</v>
      </c>
      <c r="V22">
        <v>5.3972880147121671</v>
      </c>
      <c r="W22">
        <v>5.6406578139111065</v>
      </c>
      <c r="X22">
        <v>5.8709179569286807</v>
      </c>
    </row>
    <row r="23" spans="2:24" x14ac:dyDescent="0.35">
      <c r="C23">
        <v>2025</v>
      </c>
      <c r="D23" t="s">
        <v>415</v>
      </c>
      <c r="E23">
        <v>0.39270055253912717</v>
      </c>
      <c r="F23">
        <v>0.76937853722056604</v>
      </c>
      <c r="G23">
        <v>1.135080174068603</v>
      </c>
      <c r="H23">
        <v>1.4787251310355951</v>
      </c>
      <c r="I23">
        <v>1.8013793011560271</v>
      </c>
      <c r="J23">
        <v>2.0170007940399963</v>
      </c>
      <c r="K23">
        <v>2.2227816148960509</v>
      </c>
      <c r="L23">
        <v>2.401590047714651</v>
      </c>
      <c r="M23">
        <v>2.652527036092025</v>
      </c>
      <c r="N23">
        <v>2.9217062790320516</v>
      </c>
      <c r="O23">
        <v>3.229876706192818</v>
      </c>
      <c r="P23">
        <v>3.5158165301192108</v>
      </c>
      <c r="Q23">
        <v>3.7778129634580302</v>
      </c>
      <c r="R23">
        <v>4.032205480318094</v>
      </c>
      <c r="S23">
        <v>4.2818091400869731</v>
      </c>
      <c r="T23">
        <v>4.541714437565112</v>
      </c>
      <c r="U23">
        <v>4.8016751497274921</v>
      </c>
      <c r="V23">
        <v>5.0450449489264315</v>
      </c>
      <c r="W23">
        <v>5.2753050919440057</v>
      </c>
      <c r="X23">
        <v>5.5162941312552505</v>
      </c>
    </row>
    <row r="24" spans="2:24" x14ac:dyDescent="0.35">
      <c r="C24">
        <v>2026</v>
      </c>
      <c r="D24" t="s">
        <v>415</v>
      </c>
      <c r="E24">
        <v>0.37667798468143887</v>
      </c>
      <c r="F24">
        <v>0.74237962152947579</v>
      </c>
      <c r="G24">
        <v>1.0860245784964677</v>
      </c>
      <c r="H24">
        <v>1.4086787486168997</v>
      </c>
      <c r="I24">
        <v>1.6243002415008692</v>
      </c>
      <c r="J24">
        <v>1.8300810623569237</v>
      </c>
      <c r="K24">
        <v>2.0088894951755236</v>
      </c>
      <c r="L24">
        <v>2.2598264835528976</v>
      </c>
      <c r="M24">
        <v>2.5290057264929242</v>
      </c>
      <c r="N24">
        <v>2.8371761536536906</v>
      </c>
      <c r="O24">
        <v>3.1231159775800834</v>
      </c>
      <c r="P24">
        <v>3.3851124109189028</v>
      </c>
      <c r="Q24">
        <v>3.6395049277789662</v>
      </c>
      <c r="R24">
        <v>3.8891085875478453</v>
      </c>
      <c r="S24">
        <v>4.1490138850259841</v>
      </c>
      <c r="T24">
        <v>4.4089745971883652</v>
      </c>
      <c r="U24">
        <v>4.6523443963873046</v>
      </c>
      <c r="V24">
        <v>4.8826045394048787</v>
      </c>
      <c r="W24">
        <v>5.1235935787161235</v>
      </c>
      <c r="X24">
        <v>5.3564530064585592</v>
      </c>
    </row>
    <row r="26" spans="2:24" x14ac:dyDescent="0.35">
      <c r="B26" t="s">
        <v>421</v>
      </c>
      <c r="C26">
        <v>2024</v>
      </c>
      <c r="E26">
        <v>11.36</v>
      </c>
      <c r="F26">
        <v>22.393854174181115</v>
      </c>
      <c r="G26">
        <v>33.11149806551893</v>
      </c>
      <c r="H26">
        <v>43.521993688192481</v>
      </c>
      <c r="I26">
        <v>53.634143355462029</v>
      </c>
      <c r="J26">
        <v>63.456497122227177</v>
      </c>
      <c r="K26">
        <v>72.997360014294742</v>
      </c>
      <c r="L26">
        <v>82.264799050468923</v>
      </c>
      <c r="M26">
        <v>91.266650063401073</v>
      </c>
      <c r="N26">
        <v>100.01052432496621</v>
      </c>
      <c r="O26">
        <v>108.50381498176834</v>
      </c>
      <c r="P26">
        <v>116.75370330621573</v>
      </c>
      <c r="Q26">
        <v>124.76716476845178</v>
      </c>
      <c r="R26">
        <v>132.55097493427527</v>
      </c>
      <c r="S26">
        <v>140.11171519403703</v>
      </c>
      <c r="T26">
        <v>147.4557783273566</v>
      </c>
      <c r="U26">
        <v>154.58937390836428</v>
      </c>
      <c r="V26">
        <v>161.51853355603885</v>
      </c>
      <c r="W26">
        <v>168.24911603407992</v>
      </c>
      <c r="X26">
        <v>174.78681220462732</v>
      </c>
    </row>
    <row r="27" spans="2:24" x14ac:dyDescent="0.35">
      <c r="C27">
        <v>2025</v>
      </c>
      <c r="E27">
        <v>11.627475528752063</v>
      </c>
      <c r="F27">
        <v>22.921728661443858</v>
      </c>
      <c r="G27">
        <v>33.892308948617249</v>
      </c>
      <c r="H27">
        <v>44.548492267985893</v>
      </c>
      <c r="I27">
        <v>54.899288667402999</v>
      </c>
      <c r="J27">
        <v>64.953449983063805</v>
      </c>
      <c r="K27">
        <v>74.719477239384162</v>
      </c>
      <c r="L27">
        <v>84.205627836812056</v>
      </c>
      <c r="M27">
        <v>93.419922533649412</v>
      </c>
      <c r="N27">
        <v>102.3701522277875</v>
      </c>
      <c r="O27">
        <v>111.06388454409016</v>
      </c>
      <c r="P27">
        <v>119.50847023299451</v>
      </c>
      <c r="Q27">
        <v>127.71104938573932</v>
      </c>
      <c r="R27">
        <v>135.67855747147627</v>
      </c>
      <c r="S27">
        <v>143.41773120136841</v>
      </c>
      <c r="T27">
        <v>150.9351142246343</v>
      </c>
      <c r="U27">
        <v>158.23706266135378</v>
      </c>
      <c r="V27">
        <v>165.32975047671346</v>
      </c>
      <c r="W27">
        <v>172.21917470123631</v>
      </c>
      <c r="X27">
        <v>178.91116050140863</v>
      </c>
    </row>
    <row r="28" spans="2:24" x14ac:dyDescent="0.35">
      <c r="C28">
        <v>2026</v>
      </c>
      <c r="E28">
        <v>11.901883951230612</v>
      </c>
      <c r="F28">
        <v>23.462681457853932</v>
      </c>
      <c r="G28">
        <v>34.692167439804614</v>
      </c>
      <c r="H28">
        <v>45.599836685510361</v>
      </c>
      <c r="I28">
        <v>56.194911879953715</v>
      </c>
      <c r="J28">
        <v>66.486351402664113</v>
      </c>
      <c r="K28">
        <v>76.482856902233635</v>
      </c>
      <c r="L28">
        <v>86.192880653760838</v>
      </c>
      <c r="M28">
        <v>95.624632705443545</v>
      </c>
      <c r="N28">
        <v>104.78608782036329</v>
      </c>
      <c r="O28">
        <v>113.6849922193307</v>
      </c>
      <c r="P28">
        <v>122.32887013049317</v>
      </c>
      <c r="Q28">
        <v>130.72503015124278</v>
      </c>
      <c r="R28">
        <v>138.88057142780312</v>
      </c>
      <c r="S28">
        <v>146.80238965772071</v>
      </c>
      <c r="T28">
        <v>154.49718292033569</v>
      </c>
      <c r="U28">
        <v>161.97145734016172</v>
      </c>
      <c r="V28">
        <v>169.2315325879639</v>
      </c>
      <c r="W28">
        <v>176.2835472241855</v>
      </c>
      <c r="X28">
        <v>183.13346388924188</v>
      </c>
    </row>
    <row r="30" spans="2:24" x14ac:dyDescent="0.35">
      <c r="B30" t="s">
        <v>422</v>
      </c>
      <c r="C30">
        <v>2024</v>
      </c>
      <c r="E30">
        <v>11.36</v>
      </c>
      <c r="F30">
        <v>22.616026649324361</v>
      </c>
      <c r="G30">
        <v>33.769626725073067</v>
      </c>
      <c r="H30">
        <v>44.82173227931932</v>
      </c>
      <c r="I30">
        <v>55.773266882733132</v>
      </c>
      <c r="J30">
        <v>66.625145701759635</v>
      </c>
      <c r="K30">
        <v>77.378275575095103</v>
      </c>
      <c r="L30">
        <v>88.033555089467015</v>
      </c>
      <c r="M30">
        <v>98.591874654724606</v>
      </c>
      <c r="N30">
        <v>109.05411657824607</v>
      </c>
      <c r="O30">
        <v>119.42115513866869</v>
      </c>
      <c r="P30">
        <v>129.69385665894808</v>
      </c>
      <c r="Q30">
        <v>139.87307957875251</v>
      </c>
      <c r="R30">
        <v>149.95967452619857</v>
      </c>
      <c r="S30">
        <v>159.95448438893411</v>
      </c>
      <c r="T30">
        <v>169.85834438457408</v>
      </c>
      <c r="U30">
        <v>179.67208213049577</v>
      </c>
      <c r="V30">
        <v>189.39651771299862</v>
      </c>
      <c r="W30">
        <v>199.03246375583493</v>
      </c>
      <c r="X30">
        <v>208.58072548811685</v>
      </c>
    </row>
    <row r="31" spans="2:24" x14ac:dyDescent="0.35">
      <c r="C31">
        <v>2025</v>
      </c>
      <c r="E31">
        <v>11.627475528752063</v>
      </c>
      <c r="F31">
        <v>23.149144407000477</v>
      </c>
      <c r="G31">
        <v>34.565969444536861</v>
      </c>
      <c r="H31">
        <v>45.878904689863326</v>
      </c>
      <c r="I31">
        <v>57.088895509917705</v>
      </c>
      <c r="J31">
        <v>68.196878669073243</v>
      </c>
      <c r="K31">
        <v>79.203782407419425</v>
      </c>
      <c r="L31">
        <v>90.110526518330516</v>
      </c>
      <c r="M31">
        <v>100.91802242532819</v>
      </c>
      <c r="N31">
        <v>111.62717325824475</v>
      </c>
      <c r="O31">
        <v>122.23887392869335</v>
      </c>
      <c r="P31">
        <v>132.75401120485131</v>
      </c>
      <c r="Q31">
        <v>143.17346378556309</v>
      </c>
      <c r="R31">
        <v>153.49810237376892</v>
      </c>
      <c r="S31">
        <v>163.72878974926502</v>
      </c>
      <c r="T31">
        <v>173.86638084080212</v>
      </c>
      <c r="U31">
        <v>183.91172279752755</v>
      </c>
      <c r="V31">
        <v>193.86565505977745</v>
      </c>
      <c r="W31">
        <v>203.7290094292247</v>
      </c>
      <c r="X31">
        <v>213.50261013838849</v>
      </c>
    </row>
    <row r="32" spans="2:24" x14ac:dyDescent="0.35">
      <c r="C32">
        <v>2026</v>
      </c>
      <c r="E32">
        <v>11.901883951230612</v>
      </c>
      <c r="F32">
        <v>23.695464215005693</v>
      </c>
      <c r="G32">
        <v>35.381726323427934</v>
      </c>
      <c r="H32">
        <v>46.961646840544105</v>
      </c>
      <c r="I32">
        <v>58.436193443951765</v>
      </c>
      <c r="J32">
        <v>69.806325005663368</v>
      </c>
      <c r="K32">
        <v>81.072991672234522</v>
      </c>
      <c r="L32">
        <v>92.237134944163103</v>
      </c>
      <c r="M32">
        <v>103.29968775456591</v>
      </c>
      <c r="N32">
        <v>114.2615745471393</v>
      </c>
      <c r="O32">
        <v>125.12371135341049</v>
      </c>
      <c r="P32">
        <v>135.88700586928576</v>
      </c>
      <c r="Q32">
        <v>146.55235753090236</v>
      </c>
      <c r="R32">
        <v>157.12065758978983</v>
      </c>
      <c r="S32">
        <v>167.59278918734765</v>
      </c>
      <c r="T32">
        <v>177.96962742864503</v>
      </c>
      <c r="U32">
        <v>188.25203945554918</v>
      </c>
      <c r="V32">
        <v>198.44088451918819</v>
      </c>
      <c r="W32">
        <v>208.5370140517544</v>
      </c>
      <c r="X32">
        <v>218.54127173765445</v>
      </c>
    </row>
    <row r="34" spans="2:24" x14ac:dyDescent="0.35">
      <c r="B34" t="s">
        <v>423</v>
      </c>
      <c r="C34">
        <v>2024</v>
      </c>
      <c r="E34">
        <v>104.107</v>
      </c>
      <c r="F34">
        <v>204.52905873979881</v>
      </c>
      <c r="G34">
        <v>301.396607334414</v>
      </c>
      <c r="H34">
        <v>394.83546019684172</v>
      </c>
      <c r="I34">
        <v>484.96697844950614</v>
      </c>
      <c r="J34">
        <v>571.90822755164447</v>
      </c>
      <c r="K34">
        <v>655.77212934735871</v>
      </c>
      <c r="L34">
        <v>736.66760873181829</v>
      </c>
      <c r="M34">
        <v>814.69973512610864</v>
      </c>
      <c r="N34">
        <v>889.96985894447653</v>
      </c>
      <c r="O34">
        <v>962.57574323122071</v>
      </c>
      <c r="P34">
        <v>1032.6116906382006</v>
      </c>
      <c r="Q34">
        <v>1100.1686659078866</v>
      </c>
      <c r="R34">
        <v>1165.3344140210349</v>
      </c>
      <c r="S34">
        <v>1228.1935741624425</v>
      </c>
      <c r="T34">
        <v>1288.827789652802</v>
      </c>
      <c r="U34">
        <v>1347.3158139894413</v>
      </c>
      <c r="V34">
        <v>1403.7336131336751</v>
      </c>
      <c r="W34">
        <v>1458.1544641776245</v>
      </c>
      <c r="X34">
        <v>1510.6490505186518</v>
      </c>
    </row>
    <row r="35" spans="2:24" x14ac:dyDescent="0.35">
      <c r="C35">
        <v>2025</v>
      </c>
      <c r="E35">
        <v>105.8247655</v>
      </c>
      <c r="F35">
        <v>207.90378820900548</v>
      </c>
      <c r="G35">
        <v>306.36965135543181</v>
      </c>
      <c r="H35">
        <v>401.35024529008956</v>
      </c>
      <c r="I35">
        <v>492.96893359392294</v>
      </c>
      <c r="J35">
        <v>581.3447133062466</v>
      </c>
      <c r="K35">
        <v>666.59236948159014</v>
      </c>
      <c r="L35">
        <v>748.8226242758933</v>
      </c>
      <c r="M35">
        <v>828.1422807556894</v>
      </c>
      <c r="N35">
        <v>904.65436161706043</v>
      </c>
      <c r="O35">
        <v>978.45824299453579</v>
      </c>
      <c r="P35">
        <v>1049.6497835337309</v>
      </c>
      <c r="Q35">
        <v>1118.3214488953668</v>
      </c>
      <c r="R35">
        <v>1184.5624318523821</v>
      </c>
      <c r="S35">
        <v>1248.4587681361229</v>
      </c>
      <c r="T35">
        <v>1310.0934481820734</v>
      </c>
      <c r="U35">
        <v>1369.5465249202673</v>
      </c>
      <c r="V35">
        <v>1426.8952177503811</v>
      </c>
      <c r="W35">
        <v>1482.2140128365556</v>
      </c>
      <c r="X35">
        <v>1535.5747598522098</v>
      </c>
    </row>
    <row r="36" spans="2:24" x14ac:dyDescent="0.35">
      <c r="C36">
        <v>2026</v>
      </c>
      <c r="E36">
        <v>107.57087413075</v>
      </c>
      <c r="F36">
        <v>211.33420071445408</v>
      </c>
      <c r="G36">
        <v>311.42475060279645</v>
      </c>
      <c r="H36">
        <v>407.97252433737606</v>
      </c>
      <c r="I36">
        <v>501.10292099822271</v>
      </c>
      <c r="J36">
        <v>590.93690107579971</v>
      </c>
      <c r="K36">
        <v>677.59114357803639</v>
      </c>
      <c r="L36">
        <v>761.17819757644554</v>
      </c>
      <c r="M36">
        <v>841.80662838815829</v>
      </c>
      <c r="N36">
        <v>919.58115858374185</v>
      </c>
      <c r="O36">
        <v>994.60280400394561</v>
      </c>
      <c r="P36">
        <v>1066.9690049620374</v>
      </c>
      <c r="Q36">
        <v>1136.7737528021403</v>
      </c>
      <c r="R36">
        <v>1204.1077119779463</v>
      </c>
      <c r="S36">
        <v>1269.0583378103688</v>
      </c>
      <c r="T36">
        <v>1331.7099900770775</v>
      </c>
      <c r="U36">
        <v>1392.1440425814515</v>
      </c>
      <c r="V36">
        <v>1450.4389888432622</v>
      </c>
      <c r="W36">
        <v>1506.6705440483586</v>
      </c>
      <c r="X36">
        <v>1560.9117433897711</v>
      </c>
    </row>
    <row r="38" spans="2:24" x14ac:dyDescent="0.35">
      <c r="B38" t="s">
        <v>424</v>
      </c>
      <c r="C38">
        <v>2024</v>
      </c>
      <c r="E38">
        <v>104.107</v>
      </c>
      <c r="F38">
        <v>206.55110987415296</v>
      </c>
      <c r="G38">
        <v>307.35889079097433</v>
      </c>
      <c r="H38">
        <v>406.55647966023758</v>
      </c>
      <c r="I38">
        <v>504.16959590961426</v>
      </c>
      <c r="J38">
        <v>600.22354815307153</v>
      </c>
      <c r="K38">
        <v>694.74324075275626</v>
      </c>
      <c r="L38">
        <v>787.75318027606659</v>
      </c>
      <c r="M38">
        <v>879.27748184958546</v>
      </c>
      <c r="N38">
        <v>969.33987541152339</v>
      </c>
      <c r="O38">
        <v>1057.963711864292</v>
      </c>
      <c r="P38">
        <v>1145.1719691288024</v>
      </c>
      <c r="Q38">
        <v>1230.9872581020597</v>
      </c>
      <c r="R38">
        <v>1315.431828519597</v>
      </c>
      <c r="S38">
        <v>1398.5275747242697</v>
      </c>
      <c r="T38">
        <v>1480.2960413429043</v>
      </c>
      <c r="U38">
        <v>1560.7584288722774</v>
      </c>
      <c r="V38">
        <v>1639.9355991758664</v>
      </c>
      <c r="W38">
        <v>1717.8480808928057</v>
      </c>
      <c r="X38">
        <v>1794.5160747604425</v>
      </c>
    </row>
    <row r="39" spans="2:24" x14ac:dyDescent="0.35">
      <c r="C39">
        <v>2025</v>
      </c>
      <c r="E39">
        <v>105.8247655</v>
      </c>
      <c r="F39">
        <v>209.95920318707647</v>
      </c>
      <c r="G39">
        <v>312.43031248902543</v>
      </c>
      <c r="H39">
        <v>413.26466157463153</v>
      </c>
      <c r="I39">
        <v>512.48839424212292</v>
      </c>
      <c r="J39">
        <v>610.12723669759725</v>
      </c>
      <c r="K39">
        <v>706.20650422517679</v>
      </c>
      <c r="L39">
        <v>800.75110775062171</v>
      </c>
      <c r="M39">
        <v>893.78556030010361</v>
      </c>
      <c r="N39">
        <v>985.33398335581353</v>
      </c>
      <c r="O39">
        <v>1075.4201131100529</v>
      </c>
      <c r="P39">
        <v>1164.0673066194277</v>
      </c>
      <c r="Q39">
        <v>1251.2985478607438</v>
      </c>
      <c r="R39">
        <v>1337.1364536901706</v>
      </c>
      <c r="S39">
        <v>1421.6032797072203</v>
      </c>
      <c r="T39">
        <v>1504.7209260250625</v>
      </c>
      <c r="U39">
        <v>1586.5109429486699</v>
      </c>
      <c r="V39">
        <v>1666.9945365622682</v>
      </c>
      <c r="W39">
        <v>1746.1925742275371</v>
      </c>
      <c r="X39">
        <v>1824.1255899939899</v>
      </c>
    </row>
    <row r="40" spans="2:24" x14ac:dyDescent="0.35">
      <c r="C40">
        <v>2026</v>
      </c>
      <c r="E40">
        <v>107.57087413075</v>
      </c>
      <c r="F40">
        <v>213.42353003966323</v>
      </c>
      <c r="G40">
        <v>317.58541264509432</v>
      </c>
      <c r="H40">
        <v>420.08352849061293</v>
      </c>
      <c r="I40">
        <v>520.94445274711791</v>
      </c>
      <c r="J40">
        <v>620.19433610310762</v>
      </c>
      <c r="K40">
        <v>717.85891154489229</v>
      </c>
      <c r="L40">
        <v>813.96350102850715</v>
      </c>
      <c r="M40">
        <v>908.53302204505553</v>
      </c>
      <c r="N40">
        <v>1001.5919940811847</v>
      </c>
      <c r="O40">
        <v>1093.1645449763689</v>
      </c>
      <c r="P40">
        <v>1183.2744171786485</v>
      </c>
      <c r="Q40">
        <v>1271.9449739004463</v>
      </c>
      <c r="R40">
        <v>1359.1992051760585</v>
      </c>
      <c r="S40">
        <v>1445.0597338223895</v>
      </c>
      <c r="T40">
        <v>1529.5488213044762</v>
      </c>
      <c r="U40">
        <v>1612.6883735073234</v>
      </c>
      <c r="V40">
        <v>1694.4999464155462</v>
      </c>
      <c r="W40">
        <v>1775.004751702292</v>
      </c>
      <c r="X40">
        <v>1854.2236622288913</v>
      </c>
    </row>
    <row r="42" spans="2:24" x14ac:dyDescent="0.35">
      <c r="B42" s="2" t="s">
        <v>413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63C8A-A0C2-46E2-8269-B91A810A54FA}">
  <dimension ref="A1:Y111"/>
  <sheetViews>
    <sheetView topLeftCell="A28" zoomScale="90" zoomScaleNormal="90" workbookViewId="0">
      <selection activeCell="O71" sqref="O71"/>
    </sheetView>
  </sheetViews>
  <sheetFormatPr defaultRowHeight="14.5" x14ac:dyDescent="0.35"/>
  <cols>
    <col min="1" max="1" width="40.81640625" customWidth="1"/>
    <col min="2" max="2" width="13.81640625" customWidth="1"/>
    <col min="3" max="3" width="15.81640625" customWidth="1"/>
    <col min="4" max="4" width="15" bestFit="1" customWidth="1"/>
    <col min="5" max="5" width="14" customWidth="1"/>
    <col min="6" max="6" width="15" customWidth="1"/>
    <col min="7" max="9" width="12.7265625" bestFit="1" customWidth="1"/>
    <col min="10" max="10" width="12.1796875" customWidth="1"/>
    <col min="11" max="15" width="12.1796875" bestFit="1" customWidth="1"/>
    <col min="16" max="16" width="11.54296875" bestFit="1" customWidth="1"/>
    <col min="17" max="22" width="13.26953125" bestFit="1" customWidth="1"/>
    <col min="23" max="23" width="14" bestFit="1" customWidth="1"/>
  </cols>
  <sheetData>
    <row r="1" spans="1:11" x14ac:dyDescent="0.35">
      <c r="A1" s="2" t="s">
        <v>425</v>
      </c>
    </row>
    <row r="2" spans="1:11" x14ac:dyDescent="0.35">
      <c r="A2" s="69" t="s">
        <v>426</v>
      </c>
      <c r="B2" s="68"/>
      <c r="C2" s="353"/>
      <c r="D2" s="353"/>
      <c r="E2" s="354"/>
      <c r="F2" s="354" t="s">
        <v>427</v>
      </c>
      <c r="G2" s="354"/>
      <c r="H2" s="354">
        <v>2024</v>
      </c>
      <c r="I2" s="354">
        <v>2025</v>
      </c>
      <c r="J2" s="354">
        <v>2026</v>
      </c>
      <c r="K2" s="354">
        <v>2027</v>
      </c>
    </row>
    <row r="4" spans="1:11" x14ac:dyDescent="0.35">
      <c r="A4" s="355" t="s">
        <v>428</v>
      </c>
      <c r="B4" s="356"/>
      <c r="C4" s="357" t="s">
        <v>429</v>
      </c>
      <c r="D4" s="357" t="s">
        <v>430</v>
      </c>
      <c r="E4" s="357"/>
      <c r="F4" s="357" t="s">
        <v>27</v>
      </c>
      <c r="G4" s="357"/>
      <c r="H4" s="357"/>
      <c r="I4" s="357"/>
      <c r="J4" s="357"/>
      <c r="K4" s="357"/>
    </row>
    <row r="5" spans="1:11" x14ac:dyDescent="0.35">
      <c r="A5" s="358" t="s">
        <v>431</v>
      </c>
      <c r="B5" s="330">
        <v>0</v>
      </c>
      <c r="C5" s="331" t="s">
        <v>344</v>
      </c>
      <c r="D5" s="331" t="s">
        <v>432</v>
      </c>
      <c r="E5" s="359"/>
      <c r="F5" s="360">
        <v>0</v>
      </c>
      <c r="G5" s="359"/>
      <c r="H5" s="360">
        <v>0</v>
      </c>
      <c r="I5" s="360">
        <v>0</v>
      </c>
      <c r="J5" s="360">
        <v>0</v>
      </c>
      <c r="K5" s="360">
        <v>0</v>
      </c>
    </row>
    <row r="6" spans="1:11" x14ac:dyDescent="0.35">
      <c r="A6" s="358" t="s">
        <v>431</v>
      </c>
      <c r="B6" s="330">
        <v>0</v>
      </c>
      <c r="C6" s="331" t="s">
        <v>347</v>
      </c>
      <c r="D6" s="331" t="s">
        <v>432</v>
      </c>
      <c r="E6" s="359"/>
      <c r="F6" s="360">
        <v>6794109.5</v>
      </c>
      <c r="G6" s="359"/>
      <c r="H6" s="360">
        <v>1203302.5</v>
      </c>
      <c r="I6" s="360">
        <v>1665757.5</v>
      </c>
      <c r="J6" s="360">
        <v>1907560</v>
      </c>
      <c r="K6" s="360">
        <v>2017489.5</v>
      </c>
    </row>
    <row r="7" spans="1:11" x14ac:dyDescent="0.35">
      <c r="A7" s="358" t="s">
        <v>431</v>
      </c>
      <c r="B7" s="330">
        <v>0</v>
      </c>
      <c r="C7" s="331" t="s">
        <v>27</v>
      </c>
      <c r="D7" s="331" t="s">
        <v>27</v>
      </c>
      <c r="E7" s="359"/>
      <c r="F7" s="360">
        <v>6794109.5</v>
      </c>
      <c r="G7" s="359"/>
      <c r="H7" s="360">
        <v>1203302.5</v>
      </c>
      <c r="I7" s="360">
        <v>1665757.5</v>
      </c>
      <c r="J7" s="360">
        <v>1907560</v>
      </c>
      <c r="K7" s="360">
        <v>2017489.5</v>
      </c>
    </row>
    <row r="8" spans="1:11" x14ac:dyDescent="0.35">
      <c r="A8" s="355"/>
      <c r="B8" s="356"/>
      <c r="C8" s="357"/>
      <c r="D8" s="357"/>
      <c r="E8" s="357"/>
      <c r="F8" s="357"/>
      <c r="G8" s="357"/>
      <c r="H8" s="357"/>
      <c r="I8" s="357"/>
      <c r="J8" s="357"/>
      <c r="K8" s="357"/>
    </row>
    <row r="9" spans="1:11" x14ac:dyDescent="0.35">
      <c r="A9" s="358" t="s">
        <v>433</v>
      </c>
      <c r="B9" s="330">
        <v>0</v>
      </c>
      <c r="C9" s="331" t="s">
        <v>434</v>
      </c>
      <c r="D9" s="331" t="s">
        <v>435</v>
      </c>
      <c r="E9" s="359"/>
      <c r="F9" s="360">
        <v>4222434.5860313624</v>
      </c>
      <c r="G9" s="359"/>
      <c r="H9" s="360">
        <v>483883.63461654627</v>
      </c>
      <c r="I9" s="360">
        <v>879679.15664046956</v>
      </c>
      <c r="J9" s="360">
        <v>1143998.1372466215</v>
      </c>
      <c r="K9" s="360">
        <v>1714873.6575277257</v>
      </c>
    </row>
    <row r="10" spans="1:11" x14ac:dyDescent="0.35">
      <c r="A10" s="358" t="s">
        <v>433</v>
      </c>
      <c r="B10" s="330">
        <v>0</v>
      </c>
      <c r="C10" s="331" t="s">
        <v>347</v>
      </c>
      <c r="D10" s="331" t="s">
        <v>435</v>
      </c>
      <c r="E10" s="359"/>
      <c r="F10" s="360">
        <v>2330490.9141078414</v>
      </c>
      <c r="G10" s="359"/>
      <c r="H10" s="360">
        <v>234358.45347201699</v>
      </c>
      <c r="I10" s="360">
        <v>457312.45879101282</v>
      </c>
      <c r="J10" s="360">
        <v>640793.96757965407</v>
      </c>
      <c r="K10" s="360">
        <v>998026.03426515753</v>
      </c>
    </row>
    <row r="11" spans="1:11" x14ac:dyDescent="0.35">
      <c r="A11" s="358" t="s">
        <v>433</v>
      </c>
      <c r="B11" s="330">
        <v>0</v>
      </c>
      <c r="C11" s="331" t="s">
        <v>27</v>
      </c>
      <c r="D11" s="331" t="s">
        <v>27</v>
      </c>
      <c r="E11" s="359"/>
      <c r="F11" s="360">
        <v>6552925.5001392048</v>
      </c>
      <c r="G11" s="359"/>
      <c r="H11" s="360">
        <v>718242.08808856329</v>
      </c>
      <c r="I11" s="360">
        <v>1336991.6154314824</v>
      </c>
      <c r="J11" s="360">
        <v>1784792.1048262757</v>
      </c>
      <c r="K11" s="360">
        <v>2712899.691792883</v>
      </c>
    </row>
    <row r="12" spans="1:11" x14ac:dyDescent="0.35">
      <c r="A12" s="355"/>
      <c r="B12" s="356"/>
      <c r="C12" s="357"/>
      <c r="D12" s="357"/>
      <c r="E12" s="357"/>
      <c r="F12" s="357"/>
      <c r="G12" s="357"/>
      <c r="H12" s="357"/>
      <c r="I12" s="357"/>
      <c r="J12" s="357"/>
      <c r="K12" s="357"/>
    </row>
    <row r="13" spans="1:11" x14ac:dyDescent="0.35">
      <c r="A13" s="358" t="s">
        <v>436</v>
      </c>
      <c r="B13" s="330">
        <v>0</v>
      </c>
      <c r="C13" s="331" t="s">
        <v>437</v>
      </c>
      <c r="D13" s="331" t="s">
        <v>438</v>
      </c>
      <c r="E13" s="359"/>
      <c r="F13" s="360">
        <v>4164507.4286946338</v>
      </c>
      <c r="G13" s="359"/>
      <c r="H13" s="360">
        <v>457421.2483484539</v>
      </c>
      <c r="I13" s="360">
        <v>831571.70276169409</v>
      </c>
      <c r="J13" s="360">
        <v>1189579.3130275412</v>
      </c>
      <c r="K13" s="360">
        <v>1685935.164556945</v>
      </c>
    </row>
    <row r="14" spans="1:11" x14ac:dyDescent="0.35">
      <c r="A14" s="358" t="s">
        <v>436</v>
      </c>
      <c r="B14" s="330">
        <v>0</v>
      </c>
      <c r="C14" s="331" t="s">
        <v>347</v>
      </c>
      <c r="D14" s="331" t="s">
        <v>438</v>
      </c>
      <c r="E14" s="359"/>
      <c r="F14" s="360">
        <v>2223689.7686158223</v>
      </c>
      <c r="G14" s="359"/>
      <c r="H14" s="360">
        <v>213929.49127304967</v>
      </c>
      <c r="I14" s="360">
        <v>418208.11958110938</v>
      </c>
      <c r="J14" s="360">
        <v>639344.53436135652</v>
      </c>
      <c r="K14" s="360">
        <v>952207.62340030691</v>
      </c>
    </row>
    <row r="15" spans="1:11" x14ac:dyDescent="0.35">
      <c r="A15" s="358" t="s">
        <v>436</v>
      </c>
      <c r="B15" s="330">
        <v>0</v>
      </c>
      <c r="C15" s="331" t="s">
        <v>27</v>
      </c>
      <c r="D15" s="331" t="s">
        <v>27</v>
      </c>
      <c r="E15" s="359"/>
      <c r="F15" s="360">
        <v>6388197.197310457</v>
      </c>
      <c r="G15" s="359"/>
      <c r="H15" s="360">
        <v>671350.73962150363</v>
      </c>
      <c r="I15" s="360">
        <v>1249779.8223428032</v>
      </c>
      <c r="J15" s="360">
        <v>1828923.8473888976</v>
      </c>
      <c r="K15" s="360">
        <v>2638142.787957252</v>
      </c>
    </row>
    <row r="16" spans="1:11" x14ac:dyDescent="0.35">
      <c r="A16" s="355"/>
      <c r="B16" s="356"/>
      <c r="C16" s="357"/>
      <c r="D16" s="357"/>
      <c r="E16" s="357"/>
      <c r="F16" s="357"/>
      <c r="G16" s="357"/>
      <c r="H16" s="357"/>
      <c r="I16" s="357"/>
      <c r="J16" s="357"/>
      <c r="K16" s="357"/>
    </row>
    <row r="17" spans="1:11" x14ac:dyDescent="0.35">
      <c r="A17" s="358" t="s">
        <v>439</v>
      </c>
      <c r="B17" s="330">
        <v>0</v>
      </c>
      <c r="C17" s="331" t="s">
        <v>434</v>
      </c>
      <c r="D17" s="331" t="s">
        <v>438</v>
      </c>
      <c r="E17" s="359"/>
      <c r="F17" s="360">
        <v>15714476.285880633</v>
      </c>
      <c r="G17" s="359"/>
      <c r="H17" s="360">
        <v>5954130.5053117462</v>
      </c>
      <c r="I17" s="360">
        <v>9760345.7805688865</v>
      </c>
      <c r="J17" s="360">
        <v>0</v>
      </c>
      <c r="K17" s="360">
        <v>0</v>
      </c>
    </row>
    <row r="18" spans="1:11" x14ac:dyDescent="0.35">
      <c r="A18" s="358" t="s">
        <v>439</v>
      </c>
      <c r="B18" s="330">
        <v>0</v>
      </c>
      <c r="C18" s="331" t="s">
        <v>347</v>
      </c>
      <c r="D18" s="331" t="s">
        <v>438</v>
      </c>
      <c r="E18" s="359"/>
      <c r="F18" s="360">
        <v>4472438.5933944657</v>
      </c>
      <c r="G18" s="359"/>
      <c r="H18" s="360">
        <v>1909353.5997493281</v>
      </c>
      <c r="I18" s="360">
        <v>2563084.9936451381</v>
      </c>
      <c r="J18" s="360">
        <v>0</v>
      </c>
      <c r="K18" s="360">
        <v>0</v>
      </c>
    </row>
    <row r="19" spans="1:11" x14ac:dyDescent="0.35">
      <c r="A19" s="358" t="s">
        <v>439</v>
      </c>
      <c r="B19" s="330">
        <v>0</v>
      </c>
      <c r="C19" s="331" t="s">
        <v>27</v>
      </c>
      <c r="D19" s="331" t="s">
        <v>27</v>
      </c>
      <c r="E19" s="359"/>
      <c r="F19" s="360">
        <v>20186914.879275098</v>
      </c>
      <c r="G19" s="359"/>
      <c r="H19" s="360">
        <v>7863484.1050610738</v>
      </c>
      <c r="I19" s="360">
        <v>12323430.774214024</v>
      </c>
      <c r="J19" s="360">
        <v>0</v>
      </c>
      <c r="K19" s="360">
        <v>0</v>
      </c>
    </row>
    <row r="20" spans="1:11" x14ac:dyDescent="0.35">
      <c r="A20" s="355"/>
      <c r="B20" s="356"/>
      <c r="C20" s="357"/>
      <c r="D20" s="357"/>
      <c r="E20" s="357"/>
      <c r="F20" s="357"/>
      <c r="G20" s="357"/>
      <c r="H20" s="357"/>
      <c r="I20" s="357"/>
      <c r="J20" s="357"/>
      <c r="K20" s="357"/>
    </row>
    <row r="21" spans="1:11" x14ac:dyDescent="0.35">
      <c r="A21" s="330" t="s">
        <v>440</v>
      </c>
      <c r="B21" s="330">
        <v>0</v>
      </c>
      <c r="C21" s="331" t="s">
        <v>434</v>
      </c>
      <c r="D21" s="331" t="s">
        <v>441</v>
      </c>
      <c r="E21" s="359"/>
      <c r="F21" s="360">
        <v>42000</v>
      </c>
      <c r="G21" s="359"/>
      <c r="H21" s="360">
        <v>0</v>
      </c>
      <c r="I21" s="360">
        <v>0</v>
      </c>
      <c r="J21" s="360">
        <v>21000</v>
      </c>
      <c r="K21" s="360">
        <v>21000</v>
      </c>
    </row>
    <row r="22" spans="1:11" x14ac:dyDescent="0.35">
      <c r="A22" s="330" t="s">
        <v>442</v>
      </c>
      <c r="B22" s="330">
        <v>0</v>
      </c>
      <c r="C22" s="331" t="s">
        <v>434</v>
      </c>
      <c r="D22" s="331" t="s">
        <v>438</v>
      </c>
      <c r="E22" s="359"/>
      <c r="F22" s="360">
        <v>76000</v>
      </c>
      <c r="G22" s="359"/>
      <c r="H22" s="360">
        <v>0</v>
      </c>
      <c r="I22" s="360">
        <v>0</v>
      </c>
      <c r="J22" s="360">
        <v>38000</v>
      </c>
      <c r="K22" s="360">
        <v>38000</v>
      </c>
    </row>
    <row r="23" spans="1:11" x14ac:dyDescent="0.35">
      <c r="A23" s="330" t="s">
        <v>443</v>
      </c>
      <c r="B23" s="330">
        <v>0</v>
      </c>
      <c r="C23" s="331" t="s">
        <v>437</v>
      </c>
      <c r="D23" s="331" t="s">
        <v>435</v>
      </c>
      <c r="E23" s="359"/>
      <c r="F23" s="360">
        <v>306600</v>
      </c>
      <c r="G23" s="359"/>
      <c r="H23" s="360">
        <v>0</v>
      </c>
      <c r="I23" s="360">
        <v>0</v>
      </c>
      <c r="J23" s="360">
        <v>153300</v>
      </c>
      <c r="K23" s="360">
        <v>153300</v>
      </c>
    </row>
    <row r="24" spans="1:11" x14ac:dyDescent="0.35">
      <c r="A24" s="330" t="s">
        <v>444</v>
      </c>
      <c r="B24" s="330">
        <v>0</v>
      </c>
      <c r="C24" s="331" t="s">
        <v>347</v>
      </c>
      <c r="D24" s="331" t="s">
        <v>27</v>
      </c>
      <c r="E24" s="359"/>
      <c r="F24" s="360">
        <v>750362.72727272729</v>
      </c>
      <c r="G24" s="359"/>
      <c r="H24" s="360">
        <v>0</v>
      </c>
      <c r="I24" s="360">
        <v>212120.90909090909</v>
      </c>
      <c r="J24" s="360">
        <v>234848.18181818179</v>
      </c>
      <c r="K24" s="360">
        <v>303393.63636363635</v>
      </c>
    </row>
    <row r="25" spans="1:11" x14ac:dyDescent="0.35">
      <c r="A25" s="330" t="s">
        <v>444</v>
      </c>
      <c r="B25" s="330">
        <v>0</v>
      </c>
      <c r="C25" s="331" t="s">
        <v>27</v>
      </c>
      <c r="D25" s="331" t="s">
        <v>27</v>
      </c>
      <c r="E25" s="359"/>
      <c r="F25" s="360">
        <v>1174962.7272727271</v>
      </c>
      <c r="G25" s="359"/>
      <c r="H25" s="360">
        <v>0</v>
      </c>
      <c r="I25" s="360">
        <v>212120.90909090909</v>
      </c>
      <c r="J25" s="360">
        <v>447148.18181818177</v>
      </c>
      <c r="K25" s="360">
        <v>515693.63636363629</v>
      </c>
    </row>
    <row r="26" spans="1:11" x14ac:dyDescent="0.35">
      <c r="A26" s="355"/>
      <c r="B26" s="356"/>
      <c r="C26" s="357"/>
      <c r="D26" s="357"/>
      <c r="E26" s="357"/>
      <c r="F26" s="357"/>
      <c r="G26" s="357"/>
      <c r="H26" s="357"/>
      <c r="I26" s="357"/>
      <c r="J26" s="357"/>
      <c r="K26" s="357"/>
    </row>
    <row r="27" spans="1:11" x14ac:dyDescent="0.35">
      <c r="A27" s="358" t="s">
        <v>445</v>
      </c>
      <c r="B27" s="330">
        <v>0</v>
      </c>
      <c r="C27" s="331" t="s">
        <v>434</v>
      </c>
      <c r="D27" s="331" t="s">
        <v>446</v>
      </c>
      <c r="E27" s="359"/>
      <c r="F27" s="360">
        <v>2452601.8300606632</v>
      </c>
      <c r="G27" s="359"/>
      <c r="H27" s="360">
        <v>689543.5388276747</v>
      </c>
      <c r="I27" s="360">
        <v>1147159.6639971051</v>
      </c>
      <c r="J27" s="360">
        <v>254587.7450274163</v>
      </c>
      <c r="K27" s="360">
        <v>361310.88220846711</v>
      </c>
    </row>
    <row r="28" spans="1:11" x14ac:dyDescent="0.35">
      <c r="A28" s="358" t="s">
        <v>445</v>
      </c>
      <c r="B28" s="330">
        <v>0</v>
      </c>
      <c r="C28" s="331" t="s">
        <v>347</v>
      </c>
      <c r="D28" s="331" t="s">
        <v>446</v>
      </c>
      <c r="E28" s="359"/>
      <c r="F28" s="360">
        <v>977698.20033908577</v>
      </c>
      <c r="G28" s="359"/>
      <c r="H28" s="360">
        <v>235764.15444943949</v>
      </c>
      <c r="I28" s="360">
        <v>365072.64811081695</v>
      </c>
      <c r="J28" s="360">
        <v>151498.66837591925</v>
      </c>
      <c r="K28" s="360">
        <v>225362.7294029101</v>
      </c>
    </row>
    <row r="29" spans="1:11" x14ac:dyDescent="0.35">
      <c r="A29" s="358" t="s">
        <v>445</v>
      </c>
      <c r="B29" s="330">
        <v>0</v>
      </c>
      <c r="C29" s="331" t="s">
        <v>27</v>
      </c>
      <c r="D29" s="331" t="s">
        <v>446</v>
      </c>
      <c r="E29" s="359"/>
      <c r="F29" s="360">
        <v>3460960.0303997481</v>
      </c>
      <c r="G29" s="359"/>
      <c r="H29" s="360">
        <v>925307.69327711407</v>
      </c>
      <c r="I29" s="360">
        <v>1512232.3121079218</v>
      </c>
      <c r="J29" s="360">
        <v>421416.41340333549</v>
      </c>
      <c r="K29" s="360">
        <v>602003.61161137722</v>
      </c>
    </row>
    <row r="30" spans="1:11" x14ac:dyDescent="0.35">
      <c r="A30" s="355"/>
      <c r="B30" s="356"/>
      <c r="C30" s="357"/>
      <c r="D30" s="357"/>
      <c r="E30" s="357"/>
      <c r="F30" s="357"/>
      <c r="G30" s="357"/>
      <c r="H30" s="357"/>
      <c r="I30" s="357"/>
      <c r="J30" s="357"/>
      <c r="K30" s="357"/>
    </row>
    <row r="31" spans="1:11" x14ac:dyDescent="0.35">
      <c r="A31" s="336" t="s">
        <v>447</v>
      </c>
      <c r="B31" s="336">
        <v>0</v>
      </c>
      <c r="C31" s="337" t="s">
        <v>344</v>
      </c>
      <c r="D31" s="331" t="s">
        <v>27</v>
      </c>
      <c r="E31" s="361"/>
      <c r="F31" s="360">
        <v>26978620.130667292</v>
      </c>
      <c r="G31" s="359"/>
      <c r="H31" s="360">
        <v>7584978.927104421</v>
      </c>
      <c r="I31" s="360">
        <v>12618756.303968154</v>
      </c>
      <c r="J31" s="360">
        <v>2800465.1953015793</v>
      </c>
      <c r="K31" s="360">
        <v>3974419.7042931379</v>
      </c>
    </row>
    <row r="32" spans="1:11" x14ac:dyDescent="0.35">
      <c r="A32" s="336" t="s">
        <v>447</v>
      </c>
      <c r="B32" s="336">
        <v>0</v>
      </c>
      <c r="C32" s="337" t="s">
        <v>347</v>
      </c>
      <c r="D32" s="331" t="s">
        <v>27</v>
      </c>
      <c r="E32" s="361"/>
      <c r="F32" s="360">
        <v>17548789.703729942</v>
      </c>
      <c r="G32" s="359"/>
      <c r="H32" s="360">
        <v>3796708.1989438348</v>
      </c>
      <c r="I32" s="360">
        <v>5681556.6292189863</v>
      </c>
      <c r="J32" s="360">
        <v>3574045.3521351111</v>
      </c>
      <c r="K32" s="360">
        <v>4496479.5234320108</v>
      </c>
    </row>
    <row r="33" spans="1:11" x14ac:dyDescent="0.35">
      <c r="A33" s="336" t="s">
        <v>447</v>
      </c>
      <c r="B33" s="336">
        <v>0</v>
      </c>
      <c r="C33" s="337" t="s">
        <v>27</v>
      </c>
      <c r="D33" s="331" t="s">
        <v>27</v>
      </c>
      <c r="E33" s="361"/>
      <c r="F33" s="360">
        <v>44527409.834397234</v>
      </c>
      <c r="G33" s="359"/>
      <c r="H33" s="360">
        <v>11381687.126048256</v>
      </c>
      <c r="I33" s="360">
        <v>18300312.933187142</v>
      </c>
      <c r="J33" s="360">
        <v>6374510.54743669</v>
      </c>
      <c r="K33" s="360">
        <v>8470899.2277251482</v>
      </c>
    </row>
    <row r="34" spans="1:11" x14ac:dyDescent="0.35">
      <c r="A34" s="336"/>
      <c r="B34" s="336"/>
      <c r="C34" s="337"/>
      <c r="D34" s="338"/>
      <c r="E34" s="339"/>
      <c r="F34" s="331"/>
      <c r="G34" s="340"/>
      <c r="H34" s="340"/>
      <c r="I34" s="340"/>
      <c r="J34" s="340"/>
    </row>
    <row r="35" spans="1:11" x14ac:dyDescent="0.35">
      <c r="A35" s="55" t="s">
        <v>448</v>
      </c>
      <c r="E35" s="256" t="s">
        <v>449</v>
      </c>
    </row>
    <row r="36" spans="1:11" x14ac:dyDescent="0.35">
      <c r="A36" s="318"/>
      <c r="B36" s="319">
        <v>2022</v>
      </c>
      <c r="C36" s="319">
        <v>2023</v>
      </c>
      <c r="D36" s="319">
        <v>2024</v>
      </c>
      <c r="E36" s="319">
        <v>2025</v>
      </c>
      <c r="F36" s="319">
        <v>2026</v>
      </c>
      <c r="G36" s="319">
        <v>2027</v>
      </c>
      <c r="H36" s="319">
        <v>2028</v>
      </c>
      <c r="I36" s="319">
        <v>2029</v>
      </c>
      <c r="J36" s="319">
        <v>2030</v>
      </c>
      <c r="K36" s="320">
        <v>2031</v>
      </c>
    </row>
    <row r="37" spans="1:11" x14ac:dyDescent="0.35">
      <c r="A37" s="321" t="s">
        <v>450</v>
      </c>
      <c r="B37" s="322" t="s">
        <v>451</v>
      </c>
      <c r="C37" s="322" t="s">
        <v>451</v>
      </c>
      <c r="D37" s="322" t="s">
        <v>451</v>
      </c>
      <c r="E37" s="322" t="s">
        <v>451</v>
      </c>
      <c r="F37" s="322" t="s">
        <v>451</v>
      </c>
      <c r="G37" s="322" t="s">
        <v>451</v>
      </c>
      <c r="H37" s="322" t="s">
        <v>451</v>
      </c>
      <c r="I37" s="322" t="s">
        <v>451</v>
      </c>
      <c r="J37" s="322" t="s">
        <v>451</v>
      </c>
      <c r="K37" s="322"/>
    </row>
    <row r="38" spans="1:11" x14ac:dyDescent="0.35">
      <c r="A38" s="323" t="s">
        <v>452</v>
      </c>
      <c r="B38" s="324"/>
      <c r="C38" s="324"/>
      <c r="D38" s="324"/>
      <c r="E38" s="324"/>
      <c r="F38" s="324"/>
      <c r="G38" s="324"/>
      <c r="H38" s="324"/>
      <c r="I38" s="324"/>
      <c r="J38" s="324"/>
      <c r="K38" s="324"/>
    </row>
    <row r="39" spans="1:11" x14ac:dyDescent="0.35">
      <c r="A39" s="325" t="s">
        <v>453</v>
      </c>
      <c r="B39" s="326"/>
      <c r="C39" s="326"/>
      <c r="D39" s="326"/>
      <c r="E39" s="326"/>
      <c r="F39" s="326"/>
      <c r="G39" s="326"/>
      <c r="H39" s="326"/>
      <c r="I39" s="326"/>
      <c r="J39" s="326"/>
      <c r="K39" s="326"/>
    </row>
    <row r="40" spans="1:11" x14ac:dyDescent="0.35">
      <c r="A40" s="327" t="s">
        <v>454</v>
      </c>
      <c r="B40" s="328"/>
      <c r="C40" s="328"/>
      <c r="D40" s="328"/>
      <c r="E40" s="328"/>
      <c r="F40" s="328"/>
      <c r="G40" s="328"/>
      <c r="H40" s="328"/>
      <c r="I40" s="328"/>
      <c r="J40" s="328"/>
      <c r="K40" s="328"/>
    </row>
    <row r="41" spans="1:11" x14ac:dyDescent="0.35">
      <c r="A41" s="327"/>
      <c r="B41" s="328"/>
      <c r="C41" s="328"/>
      <c r="D41" s="328"/>
      <c r="E41" s="328"/>
      <c r="F41" s="328"/>
      <c r="G41" s="328"/>
      <c r="H41" s="328"/>
      <c r="I41" s="328"/>
      <c r="J41" s="328"/>
      <c r="K41" s="328"/>
    </row>
    <row r="42" spans="1:11" x14ac:dyDescent="0.35">
      <c r="A42" s="329"/>
      <c r="B42" s="331"/>
      <c r="C42" s="331"/>
      <c r="D42" s="331"/>
      <c r="E42" s="331"/>
      <c r="F42" s="331"/>
      <c r="G42" s="331"/>
      <c r="H42" s="331"/>
      <c r="I42" s="331"/>
      <c r="J42" s="331"/>
      <c r="K42" s="331"/>
    </row>
    <row r="43" spans="1:11" x14ac:dyDescent="0.35">
      <c r="A43" s="329"/>
      <c r="B43" s="331"/>
      <c r="C43" s="331"/>
      <c r="D43" s="331"/>
      <c r="E43" s="331"/>
      <c r="F43" s="331"/>
      <c r="G43" s="331"/>
      <c r="H43" s="331"/>
      <c r="I43" s="331"/>
      <c r="J43" s="331"/>
      <c r="K43" s="331"/>
    </row>
    <row r="44" spans="1:11" x14ac:dyDescent="0.35">
      <c r="A44" s="332" t="s">
        <v>455</v>
      </c>
      <c r="B44" s="333">
        <v>32477</v>
      </c>
      <c r="C44" s="333">
        <v>47826</v>
      </c>
      <c r="D44" s="333">
        <v>64628</v>
      </c>
      <c r="E44" s="333">
        <v>79649</v>
      </c>
      <c r="F44" s="333">
        <v>98863</v>
      </c>
      <c r="G44" s="333">
        <v>121526</v>
      </c>
      <c r="H44" s="333">
        <v>149943</v>
      </c>
      <c r="I44" s="333">
        <v>185063</v>
      </c>
      <c r="J44" s="333">
        <v>229439</v>
      </c>
      <c r="K44" s="333">
        <v>284570</v>
      </c>
    </row>
    <row r="45" spans="1:11" x14ac:dyDescent="0.35">
      <c r="A45" s="329" t="s">
        <v>456</v>
      </c>
      <c r="B45" s="331">
        <v>40</v>
      </c>
      <c r="C45" s="331">
        <v>130</v>
      </c>
      <c r="D45" s="331">
        <v>277</v>
      </c>
      <c r="E45" s="331">
        <v>496</v>
      </c>
      <c r="F45" s="331">
        <v>797</v>
      </c>
      <c r="G45" s="334">
        <v>1182</v>
      </c>
      <c r="H45" s="334">
        <v>1659</v>
      </c>
      <c r="I45" s="334">
        <v>2231</v>
      </c>
      <c r="J45" s="334">
        <v>2847</v>
      </c>
      <c r="K45" s="334">
        <v>3497</v>
      </c>
    </row>
    <row r="46" spans="1:11" x14ac:dyDescent="0.35">
      <c r="A46" s="329" t="s">
        <v>457</v>
      </c>
      <c r="B46" s="331">
        <v>8</v>
      </c>
      <c r="C46" s="331">
        <v>15</v>
      </c>
      <c r="D46" s="331">
        <v>59</v>
      </c>
      <c r="E46" s="331">
        <v>156</v>
      </c>
      <c r="F46" s="331">
        <v>341</v>
      </c>
      <c r="G46" s="331">
        <v>608</v>
      </c>
      <c r="H46" s="331">
        <v>944</v>
      </c>
      <c r="I46" s="334">
        <v>1373</v>
      </c>
      <c r="J46" s="334">
        <v>1876</v>
      </c>
      <c r="K46" s="334">
        <v>2456</v>
      </c>
    </row>
    <row r="47" spans="1:11" x14ac:dyDescent="0.35">
      <c r="A47" s="329" t="s">
        <v>458</v>
      </c>
      <c r="B47" s="335">
        <v>32525</v>
      </c>
      <c r="C47" s="335">
        <v>47970</v>
      </c>
      <c r="D47" s="335">
        <v>64964</v>
      </c>
      <c r="E47" s="335">
        <v>80301</v>
      </c>
      <c r="F47" s="335">
        <v>100000</v>
      </c>
      <c r="G47" s="335">
        <v>123315</v>
      </c>
      <c r="H47" s="335">
        <v>152546</v>
      </c>
      <c r="I47" s="335">
        <v>188668</v>
      </c>
      <c r="J47" s="335">
        <v>234163</v>
      </c>
      <c r="K47" s="335">
        <v>290524</v>
      </c>
    </row>
    <row r="49" spans="1:17" x14ac:dyDescent="0.35">
      <c r="A49" s="392" t="s">
        <v>459</v>
      </c>
      <c r="B49" s="393"/>
      <c r="C49" s="394"/>
      <c r="D49" s="394"/>
      <c r="E49" s="551"/>
      <c r="F49" s="551"/>
      <c r="G49" s="394"/>
      <c r="H49" s="394"/>
      <c r="I49" s="551"/>
      <c r="J49" s="551"/>
      <c r="K49" s="394"/>
      <c r="L49" s="394"/>
      <c r="M49" s="551"/>
      <c r="N49" s="551"/>
      <c r="O49" s="394"/>
      <c r="P49" s="394"/>
      <c r="Q49" s="394"/>
    </row>
    <row r="50" spans="1:17" x14ac:dyDescent="0.35">
      <c r="A50" s="395"/>
      <c r="B50" s="53"/>
      <c r="C50" s="396"/>
      <c r="D50" s="396"/>
      <c r="E50" s="552"/>
      <c r="F50" s="552"/>
      <c r="G50" s="396"/>
      <c r="H50" s="396"/>
      <c r="I50" s="552"/>
      <c r="J50" s="552"/>
      <c r="K50" s="396"/>
      <c r="L50" s="396"/>
      <c r="M50" s="552"/>
      <c r="N50" s="552"/>
      <c r="O50" s="396"/>
      <c r="P50" s="396"/>
      <c r="Q50" s="396"/>
    </row>
    <row r="51" spans="1:17" x14ac:dyDescent="0.35">
      <c r="A51" s="53"/>
      <c r="B51" s="397" t="s">
        <v>78</v>
      </c>
      <c r="C51" s="398"/>
      <c r="D51" s="398"/>
      <c r="E51" s="53"/>
      <c r="F51" s="397" t="s">
        <v>79</v>
      </c>
      <c r="G51" s="398"/>
      <c r="H51" s="398"/>
      <c r="I51" s="53"/>
      <c r="J51" s="397" t="s">
        <v>80</v>
      </c>
      <c r="K51" s="398"/>
      <c r="L51" s="398"/>
      <c r="M51" s="53"/>
      <c r="N51" s="399" t="s">
        <v>460</v>
      </c>
      <c r="O51" s="398"/>
      <c r="P51" s="398"/>
      <c r="Q51" s="398"/>
    </row>
    <row r="52" spans="1:17" ht="43.5" x14ac:dyDescent="0.35">
      <c r="A52" s="400"/>
      <c r="B52" s="401" t="s">
        <v>461</v>
      </c>
      <c r="C52" s="401" t="s">
        <v>462</v>
      </c>
      <c r="D52" s="401" t="s">
        <v>463</v>
      </c>
      <c r="E52" s="400"/>
      <c r="F52" s="401" t="s">
        <v>461</v>
      </c>
      <c r="G52" s="401" t="s">
        <v>462</v>
      </c>
      <c r="H52" s="401" t="s">
        <v>463</v>
      </c>
      <c r="I52" s="400"/>
      <c r="J52" s="401" t="s">
        <v>461</v>
      </c>
      <c r="K52" s="401" t="s">
        <v>462</v>
      </c>
      <c r="L52" s="401" t="s">
        <v>463</v>
      </c>
      <c r="M52" s="400"/>
      <c r="N52" s="401" t="s">
        <v>461</v>
      </c>
      <c r="O52" s="401" t="s">
        <v>462</v>
      </c>
      <c r="P52" s="401" t="s">
        <v>463</v>
      </c>
      <c r="Q52" s="401" t="s">
        <v>463</v>
      </c>
    </row>
    <row r="53" spans="1:17" x14ac:dyDescent="0.35">
      <c r="A53" s="402">
        <v>2020</v>
      </c>
      <c r="B53" s="334">
        <v>14225</v>
      </c>
      <c r="C53" s="334">
        <v>14225</v>
      </c>
      <c r="D53" s="396">
        <v>0</v>
      </c>
      <c r="E53" s="53"/>
      <c r="F53" s="331">
        <v>0</v>
      </c>
      <c r="G53" s="331">
        <v>0</v>
      </c>
      <c r="H53" s="396">
        <v>0</v>
      </c>
      <c r="I53" s="53"/>
      <c r="J53" s="331">
        <v>8</v>
      </c>
      <c r="K53" s="331">
        <v>8</v>
      </c>
      <c r="L53" s="396">
        <v>0</v>
      </c>
      <c r="M53" s="53"/>
      <c r="N53" s="334">
        <v>14233</v>
      </c>
      <c r="O53" s="334">
        <v>14233</v>
      </c>
      <c r="P53" s="396">
        <v>0</v>
      </c>
      <c r="Q53" s="403">
        <v>0</v>
      </c>
    </row>
    <row r="54" spans="1:17" x14ac:dyDescent="0.35">
      <c r="A54" s="402">
        <v>2021</v>
      </c>
      <c r="B54" s="334">
        <v>20441</v>
      </c>
      <c r="C54" s="334">
        <v>20441</v>
      </c>
      <c r="D54" s="396">
        <v>0</v>
      </c>
      <c r="E54" s="53"/>
      <c r="F54" s="331">
        <v>0</v>
      </c>
      <c r="G54" s="331">
        <v>0</v>
      </c>
      <c r="H54" s="396">
        <v>0</v>
      </c>
      <c r="I54" s="53"/>
      <c r="J54" s="331">
        <v>8</v>
      </c>
      <c r="K54" s="331">
        <v>8</v>
      </c>
      <c r="L54" s="396">
        <v>0</v>
      </c>
      <c r="M54" s="53"/>
      <c r="N54" s="334">
        <v>20449</v>
      </c>
      <c r="O54" s="334">
        <v>20449</v>
      </c>
      <c r="P54" s="396">
        <v>0</v>
      </c>
      <c r="Q54" s="403">
        <v>0</v>
      </c>
    </row>
    <row r="55" spans="1:17" x14ac:dyDescent="0.35">
      <c r="A55" s="402">
        <v>2022</v>
      </c>
      <c r="B55" s="334">
        <v>28495</v>
      </c>
      <c r="C55" s="334">
        <v>28495</v>
      </c>
      <c r="D55" s="396">
        <v>0</v>
      </c>
      <c r="E55" s="53"/>
      <c r="F55" s="331">
        <v>9</v>
      </c>
      <c r="G55" s="331">
        <v>9</v>
      </c>
      <c r="H55" s="396">
        <v>0</v>
      </c>
      <c r="I55" s="53"/>
      <c r="J55" s="331">
        <v>11</v>
      </c>
      <c r="K55" s="331">
        <v>11</v>
      </c>
      <c r="L55" s="396">
        <v>0</v>
      </c>
      <c r="M55" s="53"/>
      <c r="N55" s="334">
        <v>28515</v>
      </c>
      <c r="O55" s="334">
        <v>28515</v>
      </c>
      <c r="P55" s="396">
        <v>0</v>
      </c>
      <c r="Q55" s="403">
        <v>0</v>
      </c>
    </row>
    <row r="56" spans="1:17" x14ac:dyDescent="0.35">
      <c r="A56" s="402">
        <v>2023</v>
      </c>
      <c r="B56" s="334">
        <v>47826</v>
      </c>
      <c r="C56" s="334">
        <v>38427</v>
      </c>
      <c r="D56" s="335">
        <v>-9399</v>
      </c>
      <c r="E56" s="53"/>
      <c r="F56" s="331">
        <v>130</v>
      </c>
      <c r="G56" s="331">
        <v>130</v>
      </c>
      <c r="H56" s="396">
        <v>0</v>
      </c>
      <c r="I56" s="53"/>
      <c r="J56" s="331">
        <v>15</v>
      </c>
      <c r="K56" s="331">
        <v>15</v>
      </c>
      <c r="L56" s="396">
        <v>0</v>
      </c>
      <c r="M56" s="53"/>
      <c r="N56" s="334">
        <v>47970</v>
      </c>
      <c r="O56" s="334">
        <v>38572</v>
      </c>
      <c r="P56" s="335">
        <v>-9399</v>
      </c>
      <c r="Q56" s="403">
        <v>-0.2</v>
      </c>
    </row>
    <row r="57" spans="1:17" x14ac:dyDescent="0.35">
      <c r="A57" s="402">
        <v>2024</v>
      </c>
      <c r="B57" s="334">
        <v>64628</v>
      </c>
      <c r="C57" s="334">
        <v>51526</v>
      </c>
      <c r="D57" s="335">
        <v>-13101</v>
      </c>
      <c r="E57" s="53"/>
      <c r="F57" s="331">
        <v>277</v>
      </c>
      <c r="G57" s="331">
        <v>277</v>
      </c>
      <c r="H57" s="396">
        <v>0</v>
      </c>
      <c r="I57" s="53"/>
      <c r="J57" s="331">
        <v>59</v>
      </c>
      <c r="K57" s="331">
        <v>59</v>
      </c>
      <c r="L57" s="396">
        <v>0</v>
      </c>
      <c r="M57" s="53"/>
      <c r="N57" s="334">
        <v>64964</v>
      </c>
      <c r="O57" s="334">
        <v>51862</v>
      </c>
      <c r="P57" s="335">
        <v>-13101</v>
      </c>
      <c r="Q57" s="403">
        <v>-0.2</v>
      </c>
    </row>
    <row r="58" spans="1:17" x14ac:dyDescent="0.35">
      <c r="A58" s="404">
        <v>2025</v>
      </c>
      <c r="B58" s="405">
        <v>79649</v>
      </c>
      <c r="C58" s="405">
        <v>65836</v>
      </c>
      <c r="D58" s="406">
        <v>-13813</v>
      </c>
      <c r="E58" s="407"/>
      <c r="F58" s="408">
        <v>496</v>
      </c>
      <c r="G58" s="408">
        <v>496</v>
      </c>
      <c r="H58" s="409">
        <v>0</v>
      </c>
      <c r="I58" s="407"/>
      <c r="J58" s="408">
        <v>156</v>
      </c>
      <c r="K58" s="408">
        <v>156</v>
      </c>
      <c r="L58" s="409">
        <v>0</v>
      </c>
      <c r="M58" s="407"/>
      <c r="N58" s="405">
        <v>80301</v>
      </c>
      <c r="O58" s="405">
        <v>66488</v>
      </c>
      <c r="P58" s="406">
        <v>-13813</v>
      </c>
      <c r="Q58" s="410">
        <v>-0.17</v>
      </c>
    </row>
    <row r="59" spans="1:17" x14ac:dyDescent="0.35">
      <c r="A59" s="402">
        <v>2026</v>
      </c>
      <c r="B59" s="334">
        <v>98863</v>
      </c>
      <c r="C59" s="334">
        <v>84668</v>
      </c>
      <c r="D59" s="335">
        <v>-14195</v>
      </c>
      <c r="E59" s="53"/>
      <c r="F59" s="331">
        <v>797</v>
      </c>
      <c r="G59" s="331">
        <v>797</v>
      </c>
      <c r="H59" s="396">
        <v>0</v>
      </c>
      <c r="I59" s="53"/>
      <c r="J59" s="331">
        <v>341</v>
      </c>
      <c r="K59" s="331">
        <v>341</v>
      </c>
      <c r="L59" s="396">
        <v>0</v>
      </c>
      <c r="M59" s="53"/>
      <c r="N59" s="334">
        <v>100000</v>
      </c>
      <c r="O59" s="334">
        <v>85806</v>
      </c>
      <c r="P59" s="335">
        <v>-14195</v>
      </c>
      <c r="Q59" s="403">
        <v>-0.14000000000000001</v>
      </c>
    </row>
    <row r="60" spans="1:17" x14ac:dyDescent="0.35">
      <c r="A60" s="402">
        <v>2027</v>
      </c>
      <c r="B60" s="334">
        <v>121526</v>
      </c>
      <c r="C60" s="334">
        <v>109406</v>
      </c>
      <c r="D60" s="335">
        <v>-12120</v>
      </c>
      <c r="E60" s="417"/>
      <c r="F60" s="334">
        <v>1182</v>
      </c>
      <c r="G60" s="334">
        <v>1182</v>
      </c>
      <c r="H60" s="396">
        <v>0</v>
      </c>
      <c r="I60" s="53"/>
      <c r="J60" s="331">
        <v>608</v>
      </c>
      <c r="K60" s="331">
        <v>608</v>
      </c>
      <c r="L60" s="396">
        <v>0</v>
      </c>
      <c r="M60" s="53"/>
      <c r="N60" s="334">
        <v>123315</v>
      </c>
      <c r="O60" s="334">
        <v>111196</v>
      </c>
      <c r="P60" s="335">
        <v>-12120</v>
      </c>
      <c r="Q60" s="403">
        <v>-0.1</v>
      </c>
    </row>
    <row r="61" spans="1:17" x14ac:dyDescent="0.35">
      <c r="A61" s="402">
        <v>2028</v>
      </c>
      <c r="B61" s="334">
        <v>149943</v>
      </c>
      <c r="C61" s="334">
        <v>141830</v>
      </c>
      <c r="D61" s="335">
        <v>-8112</v>
      </c>
      <c r="E61" s="53"/>
      <c r="F61" s="334">
        <v>1659</v>
      </c>
      <c r="G61" s="334">
        <v>1659</v>
      </c>
      <c r="H61" s="396">
        <v>0</v>
      </c>
      <c r="I61" s="53"/>
      <c r="J61" s="331">
        <v>944</v>
      </c>
      <c r="K61" s="331">
        <v>944</v>
      </c>
      <c r="L61" s="396">
        <v>0</v>
      </c>
      <c r="M61" s="53"/>
      <c r="N61" s="334">
        <v>152546</v>
      </c>
      <c r="O61" s="334">
        <v>144433</v>
      </c>
      <c r="P61" s="335">
        <v>-8112</v>
      </c>
      <c r="Q61" s="403">
        <v>-0.05</v>
      </c>
    </row>
    <row r="62" spans="1:17" x14ac:dyDescent="0.35">
      <c r="A62" s="402">
        <v>2029</v>
      </c>
      <c r="B62" s="334">
        <v>185063</v>
      </c>
      <c r="C62" s="334">
        <v>184215</v>
      </c>
      <c r="D62" s="396">
        <v>-848</v>
      </c>
      <c r="E62" s="53"/>
      <c r="F62" s="334">
        <v>2231</v>
      </c>
      <c r="G62" s="334">
        <v>2231</v>
      </c>
      <c r="H62" s="396">
        <v>0</v>
      </c>
      <c r="I62" s="53"/>
      <c r="J62" s="334">
        <v>1373</v>
      </c>
      <c r="K62" s="334">
        <v>1373</v>
      </c>
      <c r="L62" s="396">
        <v>0</v>
      </c>
      <c r="M62" s="53"/>
      <c r="N62" s="334">
        <v>188668</v>
      </c>
      <c r="O62" s="334">
        <v>187820</v>
      </c>
      <c r="P62" s="396">
        <v>-848</v>
      </c>
      <c r="Q62" s="403">
        <v>0</v>
      </c>
    </row>
    <row r="63" spans="1:17" x14ac:dyDescent="0.35">
      <c r="A63" s="404">
        <v>2030</v>
      </c>
      <c r="B63" s="405">
        <v>229439</v>
      </c>
      <c r="C63" s="405">
        <v>241854</v>
      </c>
      <c r="D63" s="406">
        <v>12415</v>
      </c>
      <c r="E63" s="407"/>
      <c r="F63" s="405">
        <v>2847</v>
      </c>
      <c r="G63" s="405">
        <v>2847</v>
      </c>
      <c r="H63" s="409">
        <v>0</v>
      </c>
      <c r="I63" s="407"/>
      <c r="J63" s="405">
        <v>1876</v>
      </c>
      <c r="K63" s="405">
        <v>1876</v>
      </c>
      <c r="L63" s="409">
        <v>0</v>
      </c>
      <c r="M63" s="407"/>
      <c r="N63" s="405">
        <v>234163</v>
      </c>
      <c r="O63" s="405">
        <v>246578</v>
      </c>
      <c r="P63" s="406">
        <v>12415</v>
      </c>
      <c r="Q63" s="410">
        <v>0.05</v>
      </c>
    </row>
    <row r="64" spans="1:17" x14ac:dyDescent="0.35">
      <c r="A64" s="402">
        <v>2031</v>
      </c>
      <c r="B64" s="334">
        <v>284570</v>
      </c>
      <c r="C64" s="334">
        <v>319856</v>
      </c>
      <c r="D64" s="335">
        <v>35286</v>
      </c>
      <c r="E64" s="53"/>
      <c r="F64" s="334">
        <v>3497</v>
      </c>
      <c r="G64" s="334">
        <v>3497</v>
      </c>
      <c r="H64" s="396">
        <v>0</v>
      </c>
      <c r="I64" s="53"/>
      <c r="J64" s="334">
        <v>2456</v>
      </c>
      <c r="K64" s="334">
        <v>2456</v>
      </c>
      <c r="L64" s="396">
        <v>0</v>
      </c>
      <c r="M64" s="53"/>
      <c r="N64" s="334">
        <v>290524</v>
      </c>
      <c r="O64" s="334">
        <v>325809</v>
      </c>
      <c r="P64" s="335">
        <v>35286</v>
      </c>
      <c r="Q64" s="403">
        <v>0.12</v>
      </c>
    </row>
    <row r="65" spans="1:20" x14ac:dyDescent="0.35">
      <c r="A65" s="402">
        <v>2032</v>
      </c>
      <c r="B65" s="334">
        <v>353003</v>
      </c>
      <c r="C65" s="334">
        <v>425458</v>
      </c>
      <c r="D65" s="335">
        <v>72455</v>
      </c>
      <c r="E65" s="53"/>
      <c r="F65" s="334">
        <v>4338</v>
      </c>
      <c r="G65" s="334">
        <v>4652</v>
      </c>
      <c r="H65" s="396">
        <v>314</v>
      </c>
      <c r="I65" s="53"/>
      <c r="J65" s="334">
        <v>3047</v>
      </c>
      <c r="K65" s="334">
        <v>3267</v>
      </c>
      <c r="L65" s="396">
        <v>220</v>
      </c>
      <c r="M65" s="53"/>
      <c r="N65" s="334">
        <v>360388</v>
      </c>
      <c r="O65" s="334">
        <v>433377</v>
      </c>
      <c r="P65" s="335">
        <v>72989</v>
      </c>
      <c r="Q65" s="403">
        <v>0.2</v>
      </c>
    </row>
    <row r="66" spans="1:20" x14ac:dyDescent="0.35">
      <c r="A66" s="411">
        <v>2033</v>
      </c>
      <c r="B66" s="412">
        <v>437377</v>
      </c>
      <c r="C66" s="412">
        <v>541859</v>
      </c>
      <c r="D66" s="413">
        <v>104482</v>
      </c>
      <c r="E66" s="414"/>
      <c r="F66" s="412">
        <v>5375</v>
      </c>
      <c r="G66" s="412">
        <v>5925</v>
      </c>
      <c r="H66" s="415">
        <v>549</v>
      </c>
      <c r="I66" s="414"/>
      <c r="J66" s="412">
        <v>3775</v>
      </c>
      <c r="K66" s="412">
        <v>4161</v>
      </c>
      <c r="L66" s="415">
        <v>386</v>
      </c>
      <c r="M66" s="414"/>
      <c r="N66" s="412">
        <v>446527</v>
      </c>
      <c r="O66" s="412">
        <v>551944</v>
      </c>
      <c r="P66" s="413">
        <v>105417</v>
      </c>
      <c r="Q66" s="416">
        <v>0.24</v>
      </c>
    </row>
    <row r="67" spans="1:20" x14ac:dyDescent="0.35">
      <c r="A67" s="402">
        <v>2034</v>
      </c>
      <c r="B67" s="334">
        <v>540365</v>
      </c>
      <c r="C67" s="334">
        <v>670301</v>
      </c>
      <c r="D67" s="335">
        <v>129935</v>
      </c>
      <c r="E67" s="53"/>
      <c r="F67" s="334">
        <v>6641</v>
      </c>
      <c r="G67" s="334">
        <v>7329</v>
      </c>
      <c r="H67" s="396">
        <v>688</v>
      </c>
      <c r="I67" s="53"/>
      <c r="J67" s="334">
        <v>4664</v>
      </c>
      <c r="K67" s="334">
        <v>5147</v>
      </c>
      <c r="L67" s="396">
        <v>483</v>
      </c>
      <c r="M67" s="53"/>
      <c r="N67" s="334">
        <v>551670</v>
      </c>
      <c r="O67" s="334">
        <v>682776</v>
      </c>
      <c r="P67" s="335">
        <v>131107</v>
      </c>
      <c r="Q67" s="403">
        <v>0.24</v>
      </c>
    </row>
    <row r="68" spans="1:20" x14ac:dyDescent="0.35">
      <c r="A68" s="402">
        <v>2035</v>
      </c>
      <c r="B68" s="334">
        <v>647279</v>
      </c>
      <c r="C68" s="334">
        <v>795877</v>
      </c>
      <c r="D68" s="335">
        <v>148597</v>
      </c>
      <c r="E68" s="53"/>
      <c r="F68" s="334">
        <v>7955</v>
      </c>
      <c r="G68" s="334">
        <v>8702</v>
      </c>
      <c r="H68" s="396">
        <v>747</v>
      </c>
      <c r="I68" s="53"/>
      <c r="J68" s="334">
        <v>5586</v>
      </c>
      <c r="K68" s="334">
        <v>6111</v>
      </c>
      <c r="L68" s="396">
        <v>525</v>
      </c>
      <c r="M68" s="53"/>
      <c r="N68" s="334">
        <v>660821</v>
      </c>
      <c r="O68" s="334">
        <v>810690</v>
      </c>
      <c r="P68" s="335">
        <v>149869</v>
      </c>
      <c r="Q68" s="403">
        <v>0.23</v>
      </c>
    </row>
    <row r="73" spans="1:20" ht="31.5" customHeight="1" thickBot="1" x14ac:dyDescent="0.4">
      <c r="A73" s="549" t="s">
        <v>464</v>
      </c>
      <c r="B73" s="549"/>
      <c r="C73" s="549"/>
      <c r="D73" s="549"/>
      <c r="E73" s="549"/>
      <c r="F73" s="550"/>
      <c r="G73" s="317">
        <v>2024</v>
      </c>
      <c r="H73" s="317">
        <v>2025</v>
      </c>
      <c r="I73" s="317">
        <v>2026</v>
      </c>
      <c r="J73" s="317">
        <v>2027</v>
      </c>
      <c r="K73" s="317">
        <v>2028</v>
      </c>
      <c r="L73" s="317">
        <v>2029</v>
      </c>
      <c r="M73" s="317">
        <v>2030</v>
      </c>
      <c r="N73" s="317">
        <v>2031</v>
      </c>
      <c r="O73" s="317">
        <v>2032</v>
      </c>
      <c r="P73" s="317">
        <v>2033</v>
      </c>
      <c r="Q73" s="317">
        <v>2034</v>
      </c>
      <c r="R73" s="317">
        <v>2035</v>
      </c>
      <c r="S73" s="317">
        <v>2036</v>
      </c>
      <c r="T73" s="317">
        <v>2037</v>
      </c>
    </row>
    <row r="74" spans="1:20" ht="15" thickBot="1" x14ac:dyDescent="0.4">
      <c r="B74" s="388" t="s">
        <v>465</v>
      </c>
      <c r="C74" s="390">
        <v>2024</v>
      </c>
      <c r="D74" s="389"/>
      <c r="E74" s="385">
        <f>NPV($B$93,G74:T74)</f>
        <v>9915209.7284542732</v>
      </c>
      <c r="F74" s="385"/>
      <c r="G74" s="385">
        <v>791241.60743193817</v>
      </c>
      <c r="H74" s="385">
        <v>1544045.3448557174</v>
      </c>
      <c r="I74" s="385">
        <v>1450523.1858409434</v>
      </c>
      <c r="J74" s="385">
        <v>1362479.6033687191</v>
      </c>
      <c r="K74" s="385">
        <v>1343416.6801929662</v>
      </c>
      <c r="L74" s="385">
        <v>1256752.9212732655</v>
      </c>
      <c r="M74" s="385">
        <v>987550.83277291432</v>
      </c>
      <c r="N74" s="385">
        <v>958386.23187006183</v>
      </c>
      <c r="O74" s="385">
        <v>880706.79941316647</v>
      </c>
      <c r="P74" s="385">
        <v>803027.36695627111</v>
      </c>
      <c r="Q74" s="385">
        <v>731980.57457596902</v>
      </c>
      <c r="R74" s="385">
        <v>-237298.518966534</v>
      </c>
      <c r="S74" s="385">
        <v>-155415.9723796389</v>
      </c>
      <c r="T74" s="386">
        <v>-4.1524171859880309E-11</v>
      </c>
    </row>
    <row r="75" spans="1:20" ht="15" thickBot="1" x14ac:dyDescent="0.4">
      <c r="B75" s="387" t="s">
        <v>465</v>
      </c>
      <c r="C75" s="391">
        <v>2025</v>
      </c>
      <c r="D75" s="383"/>
      <c r="E75" s="380">
        <f t="shared" ref="E75:E77" si="0">NPV($B$93,G75:T75)</f>
        <v>16078387.465972796</v>
      </c>
      <c r="F75" s="380"/>
      <c r="G75" s="380">
        <v>0</v>
      </c>
      <c r="H75" s="380">
        <v>1314065.7935309308</v>
      </c>
      <c r="I75" s="380">
        <v>2565791.5155352503</v>
      </c>
      <c r="J75" s="380">
        <v>2410587.099257438</v>
      </c>
      <c r="K75" s="380">
        <v>2377688.6139066471</v>
      </c>
      <c r="L75" s="380">
        <v>2232985.0662715449</v>
      </c>
      <c r="M75" s="380">
        <v>2013404.6558290282</v>
      </c>
      <c r="N75" s="380">
        <v>1722345.539484805</v>
      </c>
      <c r="O75" s="380">
        <v>1593456.7082940484</v>
      </c>
      <c r="P75" s="380">
        <v>1464567.8771032922</v>
      </c>
      <c r="Q75" s="380">
        <v>1335679.0459125361</v>
      </c>
      <c r="R75" s="380">
        <v>722909.16336768435</v>
      </c>
      <c r="S75" s="380">
        <v>-94179.799805050381</v>
      </c>
      <c r="T75" s="381">
        <v>-3.1398400443229173E-11</v>
      </c>
    </row>
    <row r="76" spans="1:20" ht="15" thickBot="1" x14ac:dyDescent="0.4">
      <c r="B76" s="387" t="s">
        <v>465</v>
      </c>
      <c r="C76" s="391">
        <v>2026</v>
      </c>
      <c r="D76" s="383"/>
      <c r="E76" s="380">
        <f t="shared" si="0"/>
        <v>3248081.5672741234</v>
      </c>
      <c r="F76" s="380"/>
      <c r="G76" s="380">
        <v>0</v>
      </c>
      <c r="H76" s="380">
        <v>0</v>
      </c>
      <c r="I76" s="380">
        <v>253482.43767637512</v>
      </c>
      <c r="J76" s="380">
        <v>519582.58315741562</v>
      </c>
      <c r="K76" s="380">
        <v>516169.01755970664</v>
      </c>
      <c r="L76" s="380">
        <v>488338.13587532553</v>
      </c>
      <c r="M76" s="380">
        <v>495810.22586302215</v>
      </c>
      <c r="N76" s="380">
        <v>383086.20965898642</v>
      </c>
      <c r="O76" s="380">
        <v>360257.16206101899</v>
      </c>
      <c r="P76" s="380">
        <v>337430.14746610256</v>
      </c>
      <c r="Q76" s="380">
        <v>314603.63368126063</v>
      </c>
      <c r="R76" s="380">
        <v>291777.15825114161</v>
      </c>
      <c r="S76" s="380">
        <v>151095.73250858547</v>
      </c>
      <c r="T76" s="381">
        <v>1496.7133242709081</v>
      </c>
    </row>
    <row r="77" spans="1:20" ht="15" thickBot="1" x14ac:dyDescent="0.4">
      <c r="B77" s="387" t="s">
        <v>465</v>
      </c>
      <c r="C77" s="391">
        <v>2027</v>
      </c>
      <c r="D77" s="383"/>
      <c r="E77" s="380">
        <f t="shared" si="0"/>
        <v>4484372.319364286</v>
      </c>
      <c r="F77" s="380"/>
      <c r="G77" s="380">
        <v>0</v>
      </c>
      <c r="H77" s="380">
        <v>0</v>
      </c>
      <c r="I77" s="380">
        <v>0</v>
      </c>
      <c r="J77" s="380">
        <v>362175.2890072476</v>
      </c>
      <c r="K77" s="380">
        <v>777744.29438291199</v>
      </c>
      <c r="L77" s="380">
        <v>735582.81928711222</v>
      </c>
      <c r="M77" s="380">
        <v>815397.21172466374</v>
      </c>
      <c r="N77" s="380">
        <v>578313.23494767759</v>
      </c>
      <c r="O77" s="380">
        <v>545524.99363405851</v>
      </c>
      <c r="P77" s="380">
        <v>512738.95605593489</v>
      </c>
      <c r="Q77" s="380">
        <v>479954.95148086239</v>
      </c>
      <c r="R77" s="380">
        <v>447171.44771586417</v>
      </c>
      <c r="S77" s="380">
        <v>587886.46209280507</v>
      </c>
      <c r="T77" s="381">
        <v>3173.5992422552963</v>
      </c>
    </row>
    <row r="86" spans="1:17" x14ac:dyDescent="0.35">
      <c r="A86" s="2" t="s">
        <v>466</v>
      </c>
    </row>
    <row r="87" spans="1:17" x14ac:dyDescent="0.35">
      <c r="A87" s="2"/>
      <c r="B87" s="548" t="s">
        <v>467</v>
      </c>
      <c r="C87" s="548"/>
      <c r="D87" s="548"/>
      <c r="E87" s="548"/>
    </row>
    <row r="88" spans="1:17" x14ac:dyDescent="0.35">
      <c r="B88" s="316">
        <v>2024</v>
      </c>
      <c r="C88" s="316">
        <v>2025</v>
      </c>
      <c r="D88" s="316">
        <v>2026</v>
      </c>
      <c r="E88" s="316">
        <v>2027</v>
      </c>
      <c r="F88" s="316" t="s">
        <v>27</v>
      </c>
    </row>
    <row r="89" spans="1:17" x14ac:dyDescent="0.35">
      <c r="A89" t="s">
        <v>344</v>
      </c>
      <c r="B89" s="362">
        <f t="shared" ref="B89:E91" si="1">H31</f>
        <v>7584978.927104421</v>
      </c>
      <c r="C89" s="362">
        <f t="shared" si="1"/>
        <v>12618756.303968154</v>
      </c>
      <c r="D89" s="362">
        <f t="shared" si="1"/>
        <v>2800465.1953015793</v>
      </c>
      <c r="E89" s="362">
        <f t="shared" si="1"/>
        <v>3974419.7042931379</v>
      </c>
      <c r="F89" s="362">
        <v>26978620.130667292</v>
      </c>
    </row>
    <row r="90" spans="1:17" x14ac:dyDescent="0.35">
      <c r="A90" t="s">
        <v>347</v>
      </c>
      <c r="B90" s="362">
        <f t="shared" si="1"/>
        <v>3796708.1989438348</v>
      </c>
      <c r="C90" s="362">
        <f t="shared" si="1"/>
        <v>5681556.6292189863</v>
      </c>
      <c r="D90" s="362">
        <f t="shared" si="1"/>
        <v>3574045.3521351111</v>
      </c>
      <c r="E90" s="362">
        <f t="shared" si="1"/>
        <v>4496479.5234320108</v>
      </c>
      <c r="F90" s="362">
        <v>17548789.703729942</v>
      </c>
    </row>
    <row r="91" spans="1:17" x14ac:dyDescent="0.35">
      <c r="A91" t="s">
        <v>27</v>
      </c>
      <c r="B91" s="362">
        <f t="shared" si="1"/>
        <v>11381687.126048256</v>
      </c>
      <c r="C91" s="362">
        <f t="shared" si="1"/>
        <v>18300312.933187142</v>
      </c>
      <c r="D91" s="362">
        <f t="shared" si="1"/>
        <v>6374510.54743669</v>
      </c>
      <c r="E91" s="362">
        <f t="shared" si="1"/>
        <v>8470899.2277251482</v>
      </c>
      <c r="F91" s="362">
        <v>44527409.834397234</v>
      </c>
    </row>
    <row r="93" spans="1:17" x14ac:dyDescent="0.35">
      <c r="A93" t="s">
        <v>319</v>
      </c>
      <c r="B93" s="44">
        <v>3.3000000000000002E-2</v>
      </c>
      <c r="C93" t="s">
        <v>157</v>
      </c>
      <c r="D93" s="3" t="s">
        <v>468</v>
      </c>
      <c r="E93" s="317">
        <v>2024</v>
      </c>
      <c r="F93" s="317">
        <v>2025</v>
      </c>
      <c r="G93" s="317">
        <v>2026</v>
      </c>
      <c r="H93" s="317">
        <v>2027</v>
      </c>
      <c r="I93" s="317">
        <v>2028</v>
      </c>
      <c r="J93" s="317">
        <v>2029</v>
      </c>
      <c r="K93" s="317">
        <v>2030</v>
      </c>
      <c r="L93" s="317">
        <v>2031</v>
      </c>
      <c r="M93" s="317">
        <v>2032</v>
      </c>
      <c r="N93" s="317">
        <v>2033</v>
      </c>
      <c r="O93" s="317">
        <v>2034</v>
      </c>
      <c r="P93" s="317">
        <v>2035</v>
      </c>
      <c r="Q93" s="317">
        <v>2036</v>
      </c>
    </row>
    <row r="94" spans="1:17" x14ac:dyDescent="0.35">
      <c r="A94" t="s">
        <v>469</v>
      </c>
      <c r="B94" s="365">
        <v>0.15</v>
      </c>
      <c r="C94">
        <v>2024</v>
      </c>
      <c r="D94" s="363">
        <f>NPV($B$93,E94:Q94)</f>
        <v>9558299.0163887423</v>
      </c>
      <c r="E94" s="366">
        <f>0.15*$B$89</f>
        <v>1137746.8390656631</v>
      </c>
      <c r="F94" s="366">
        <f t="shared" ref="F94:N94" si="2">0.15*$B$89</f>
        <v>1137746.8390656631</v>
      </c>
      <c r="G94" s="366">
        <f t="shared" si="2"/>
        <v>1137746.8390656631</v>
      </c>
      <c r="H94" s="366">
        <f t="shared" si="2"/>
        <v>1137746.8390656631</v>
      </c>
      <c r="I94" s="366">
        <f t="shared" si="2"/>
        <v>1137746.8390656631</v>
      </c>
      <c r="J94" s="366">
        <f t="shared" si="2"/>
        <v>1137746.8390656631</v>
      </c>
      <c r="K94" s="366">
        <f t="shared" si="2"/>
        <v>1137746.8390656631</v>
      </c>
      <c r="L94" s="366">
        <f t="shared" si="2"/>
        <v>1137746.8390656631</v>
      </c>
      <c r="M94" s="366">
        <f t="shared" si="2"/>
        <v>1137746.8390656631</v>
      </c>
      <c r="N94" s="366">
        <f t="shared" si="2"/>
        <v>1137746.8390656631</v>
      </c>
      <c r="O94" s="366">
        <v>0</v>
      </c>
      <c r="P94" s="366">
        <v>0</v>
      </c>
      <c r="Q94" s="366">
        <v>0</v>
      </c>
    </row>
    <row r="95" spans="1:17" x14ac:dyDescent="0.35">
      <c r="C95">
        <v>2025</v>
      </c>
      <c r="D95" s="363">
        <f t="shared" ref="D95:D97" si="3">NPV($B$93,E95:Q95)</f>
        <v>15901671.860585196</v>
      </c>
      <c r="E95" s="316"/>
      <c r="F95" s="366">
        <f>0.15*$C$89</f>
        <v>1892813.445595223</v>
      </c>
      <c r="G95" s="366">
        <f t="shared" ref="G95:O95" si="4">0.15*$C$89</f>
        <v>1892813.445595223</v>
      </c>
      <c r="H95" s="366">
        <f t="shared" si="4"/>
        <v>1892813.445595223</v>
      </c>
      <c r="I95" s="366">
        <f t="shared" si="4"/>
        <v>1892813.445595223</v>
      </c>
      <c r="J95" s="366">
        <f t="shared" si="4"/>
        <v>1892813.445595223</v>
      </c>
      <c r="K95" s="366">
        <f t="shared" si="4"/>
        <v>1892813.445595223</v>
      </c>
      <c r="L95" s="366">
        <f t="shared" si="4"/>
        <v>1892813.445595223</v>
      </c>
      <c r="M95" s="366">
        <f t="shared" si="4"/>
        <v>1892813.445595223</v>
      </c>
      <c r="N95" s="366">
        <f t="shared" si="4"/>
        <v>1892813.445595223</v>
      </c>
      <c r="O95" s="366">
        <f t="shared" si="4"/>
        <v>1892813.445595223</v>
      </c>
      <c r="P95" s="366">
        <v>0</v>
      </c>
      <c r="Q95" s="366">
        <v>0</v>
      </c>
    </row>
    <row r="96" spans="1:17" x14ac:dyDescent="0.35">
      <c r="C96">
        <v>2026</v>
      </c>
      <c r="D96" s="363">
        <f t="shared" si="3"/>
        <v>3529038.6405728091</v>
      </c>
      <c r="E96" s="316"/>
      <c r="F96" s="316"/>
      <c r="G96" s="366">
        <f>0.15*$D$89</f>
        <v>420069.77929523686</v>
      </c>
      <c r="H96" s="366">
        <f t="shared" ref="H96:P96" si="5">0.15*$D$89</f>
        <v>420069.77929523686</v>
      </c>
      <c r="I96" s="366">
        <f t="shared" si="5"/>
        <v>420069.77929523686</v>
      </c>
      <c r="J96" s="366">
        <f t="shared" si="5"/>
        <v>420069.77929523686</v>
      </c>
      <c r="K96" s="366">
        <f t="shared" si="5"/>
        <v>420069.77929523686</v>
      </c>
      <c r="L96" s="366">
        <f t="shared" si="5"/>
        <v>420069.77929523686</v>
      </c>
      <c r="M96" s="366">
        <f t="shared" si="5"/>
        <v>420069.77929523686</v>
      </c>
      <c r="N96" s="366">
        <f t="shared" si="5"/>
        <v>420069.77929523686</v>
      </c>
      <c r="O96" s="366">
        <f t="shared" si="5"/>
        <v>420069.77929523686</v>
      </c>
      <c r="P96" s="366">
        <f t="shared" si="5"/>
        <v>420069.77929523686</v>
      </c>
      <c r="Q96" s="366">
        <v>0</v>
      </c>
    </row>
    <row r="97" spans="1:25" x14ac:dyDescent="0.35">
      <c r="C97">
        <v>2027</v>
      </c>
      <c r="D97" s="363">
        <f t="shared" si="3"/>
        <v>5008411.0075126318</v>
      </c>
      <c r="E97" s="316"/>
      <c r="F97" s="316"/>
      <c r="G97" s="366"/>
      <c r="H97" s="366">
        <f>0.15*$E$89</f>
        <v>596162.95564397064</v>
      </c>
      <c r="I97" s="366">
        <f t="shared" ref="I97:Q97" si="6">0.15*$E$89</f>
        <v>596162.95564397064</v>
      </c>
      <c r="J97" s="366">
        <f t="shared" si="6"/>
        <v>596162.95564397064</v>
      </c>
      <c r="K97" s="366">
        <f t="shared" si="6"/>
        <v>596162.95564397064</v>
      </c>
      <c r="L97" s="366">
        <f t="shared" si="6"/>
        <v>596162.95564397064</v>
      </c>
      <c r="M97" s="366">
        <f t="shared" si="6"/>
        <v>596162.95564397064</v>
      </c>
      <c r="N97" s="366">
        <f t="shared" si="6"/>
        <v>596162.95564397064</v>
      </c>
      <c r="O97" s="366">
        <f t="shared" si="6"/>
        <v>596162.95564397064</v>
      </c>
      <c r="P97" s="366">
        <f t="shared" si="6"/>
        <v>596162.95564397064</v>
      </c>
      <c r="Q97" s="366">
        <f t="shared" si="6"/>
        <v>596162.95564397064</v>
      </c>
    </row>
    <row r="98" spans="1:25" x14ac:dyDescent="0.35">
      <c r="F98" s="364"/>
      <c r="G98" s="364"/>
      <c r="H98" s="364"/>
      <c r="I98" s="364"/>
      <c r="J98" s="364"/>
      <c r="K98" s="364"/>
      <c r="L98" s="364"/>
      <c r="M98" s="364"/>
      <c r="N98" s="364"/>
      <c r="O98" s="364"/>
      <c r="P98" s="364"/>
    </row>
    <row r="99" spans="1:25" x14ac:dyDescent="0.35">
      <c r="A99" t="s">
        <v>470</v>
      </c>
    </row>
    <row r="101" spans="1:25" ht="15" thickBot="1" x14ac:dyDescent="0.4">
      <c r="E101" t="s">
        <v>471</v>
      </c>
      <c r="H101" s="50">
        <v>0.05</v>
      </c>
      <c r="J101" t="s">
        <v>472</v>
      </c>
    </row>
    <row r="102" spans="1:25" x14ac:dyDescent="0.35">
      <c r="E102" s="367"/>
      <c r="F102" s="368"/>
      <c r="G102" s="368"/>
      <c r="H102" s="368"/>
      <c r="I102" s="368"/>
      <c r="J102" s="369"/>
      <c r="K102" s="368"/>
      <c r="L102" s="368"/>
      <c r="M102" s="368"/>
      <c r="N102" s="368"/>
      <c r="O102" s="368"/>
      <c r="P102" s="368"/>
      <c r="Q102" s="368"/>
      <c r="R102" s="368"/>
      <c r="S102" s="368"/>
      <c r="T102" s="368"/>
      <c r="U102" s="368"/>
      <c r="V102" s="368"/>
      <c r="W102" s="368"/>
      <c r="X102" s="368"/>
      <c r="Y102" s="370"/>
    </row>
    <row r="103" spans="1:25" x14ac:dyDescent="0.35">
      <c r="E103" s="371" t="s">
        <v>431</v>
      </c>
      <c r="F103" s="372"/>
      <c r="G103" s="373" t="s">
        <v>473</v>
      </c>
      <c r="H103" s="372"/>
      <c r="I103" s="372"/>
      <c r="J103" s="374">
        <v>0</v>
      </c>
      <c r="K103" s="375"/>
      <c r="L103" s="374">
        <v>0</v>
      </c>
      <c r="M103" s="374">
        <v>0</v>
      </c>
      <c r="N103" s="374">
        <v>0</v>
      </c>
      <c r="O103" s="374">
        <v>0</v>
      </c>
      <c r="P103" s="374">
        <v>0</v>
      </c>
      <c r="Q103" s="374">
        <v>0</v>
      </c>
      <c r="R103" s="374">
        <v>0</v>
      </c>
      <c r="S103" s="374">
        <v>0</v>
      </c>
      <c r="T103" s="374">
        <v>0</v>
      </c>
      <c r="U103" s="374">
        <v>0</v>
      </c>
      <c r="V103" s="374">
        <v>0</v>
      </c>
      <c r="W103" s="374">
        <v>0</v>
      </c>
      <c r="X103" s="374">
        <v>0</v>
      </c>
      <c r="Y103" s="374">
        <v>0</v>
      </c>
    </row>
    <row r="104" spans="1:25" x14ac:dyDescent="0.35">
      <c r="E104" s="371" t="s">
        <v>474</v>
      </c>
      <c r="F104" s="372"/>
      <c r="G104" s="373" t="s">
        <v>473</v>
      </c>
      <c r="H104" s="372"/>
      <c r="I104" s="372"/>
      <c r="J104" s="374">
        <v>6811400.6401018938</v>
      </c>
      <c r="K104" s="375"/>
      <c r="L104" s="374">
        <v>50010.608133239351</v>
      </c>
      <c r="M104" s="374">
        <v>188011.72046292474</v>
      </c>
      <c r="N104" s="374">
        <v>386109.44245261035</v>
      </c>
      <c r="O104" s="374">
        <v>658721.52033112897</v>
      </c>
      <c r="P104" s="374">
        <v>836478.20111110364</v>
      </c>
      <c r="Q104" s="374">
        <v>785617.05785936455</v>
      </c>
      <c r="R104" s="374">
        <v>735995.25984718243</v>
      </c>
      <c r="S104" s="374">
        <v>687010.23414727824</v>
      </c>
      <c r="T104" s="374">
        <v>638083.40127689333</v>
      </c>
      <c r="U104" s="374">
        <v>589156.56840650865</v>
      </c>
      <c r="V104" s="374">
        <v>540728.24733147095</v>
      </c>
      <c r="W104" s="374">
        <v>493760.77012899268</v>
      </c>
      <c r="X104" s="374">
        <v>221518.93465616566</v>
      </c>
      <c r="Y104" s="376">
        <v>198.67395703104305</v>
      </c>
    </row>
    <row r="105" spans="1:25" x14ac:dyDescent="0.35">
      <c r="E105" s="371" t="s">
        <v>475</v>
      </c>
      <c r="F105" s="372"/>
      <c r="G105" s="373" t="s">
        <v>473</v>
      </c>
      <c r="H105" s="372"/>
      <c r="I105" s="372"/>
      <c r="J105" s="374">
        <v>5712513.7152166478</v>
      </c>
      <c r="K105" s="375"/>
      <c r="L105" s="374">
        <v>32474.179434270773</v>
      </c>
      <c r="M105" s="374">
        <v>131633.67044894071</v>
      </c>
      <c r="N105" s="374">
        <v>286095.06215467141</v>
      </c>
      <c r="O105" s="374">
        <v>501865.01866138272</v>
      </c>
      <c r="P105" s="374">
        <v>665546.08921128907</v>
      </c>
      <c r="Q105" s="374">
        <v>637505.69859556959</v>
      </c>
      <c r="R105" s="374">
        <v>609465.30797984998</v>
      </c>
      <c r="S105" s="374">
        <v>581424.9173641305</v>
      </c>
      <c r="T105" s="374">
        <v>553384.52674841101</v>
      </c>
      <c r="U105" s="374">
        <v>525344.13613269152</v>
      </c>
      <c r="V105" s="374">
        <v>497303.74551697203</v>
      </c>
      <c r="W105" s="374">
        <v>469263.35490125243</v>
      </c>
      <c r="X105" s="374">
        <v>221208.00806721696</v>
      </c>
      <c r="Y105" s="376">
        <v>8.8494136750564604E-12</v>
      </c>
    </row>
    <row r="106" spans="1:25" x14ac:dyDescent="0.35">
      <c r="E106" s="371" t="s">
        <v>476</v>
      </c>
      <c r="F106" s="372"/>
      <c r="G106" s="373" t="s">
        <v>473</v>
      </c>
      <c r="H106" s="372"/>
      <c r="I106" s="372"/>
      <c r="J106" s="374">
        <v>25199102.147753909</v>
      </c>
      <c r="K106" s="375"/>
      <c r="L106" s="374">
        <v>615374.57804556657</v>
      </c>
      <c r="M106" s="374">
        <v>2203494.5638391366</v>
      </c>
      <c r="N106" s="374">
        <v>3082662.2248196821</v>
      </c>
      <c r="O106" s="374">
        <v>2899123.7351854336</v>
      </c>
      <c r="P106" s="374">
        <v>2858054.2153507513</v>
      </c>
      <c r="Q106" s="374">
        <v>2675633.8488822663</v>
      </c>
      <c r="R106" s="374">
        <v>2493544.6917338185</v>
      </c>
      <c r="S106" s="374">
        <v>2311455.5345853702</v>
      </c>
      <c r="T106" s="374">
        <v>2129366.3774369224</v>
      </c>
      <c r="U106" s="374">
        <v>1947277.2202884743</v>
      </c>
      <c r="V106" s="374">
        <v>1771322.1914212727</v>
      </c>
      <c r="W106" s="374">
        <v>211792.96616521393</v>
      </c>
      <c r="X106" s="374">
        <v>-5.7180826823441739E-11</v>
      </c>
      <c r="Y106" s="376">
        <v>-5.7180826823441739E-11</v>
      </c>
    </row>
    <row r="107" spans="1:25" x14ac:dyDescent="0.35">
      <c r="E107" s="377" t="s">
        <v>444</v>
      </c>
      <c r="F107" s="372"/>
      <c r="G107" s="373" t="s">
        <v>473</v>
      </c>
      <c r="H107" s="372"/>
      <c r="I107" s="372"/>
      <c r="J107" s="374">
        <v>181924.2918095747</v>
      </c>
      <c r="K107" s="375"/>
      <c r="L107" s="374">
        <v>0</v>
      </c>
      <c r="M107" s="374">
        <v>0</v>
      </c>
      <c r="N107" s="374">
        <v>5433.0489242094336</v>
      </c>
      <c r="O107" s="374">
        <v>16020.580529070226</v>
      </c>
      <c r="P107" s="374">
        <v>21660.093934201876</v>
      </c>
      <c r="Q107" s="374">
        <v>20533.388298696325</v>
      </c>
      <c r="R107" s="374">
        <v>19443.247472363753</v>
      </c>
      <c r="S107" s="374">
        <v>18372.598969099578</v>
      </c>
      <c r="T107" s="374">
        <v>17307.820951732192</v>
      </c>
      <c r="U107" s="374">
        <v>16247.279672911347</v>
      </c>
      <c r="V107" s="374">
        <v>15189.272207216134</v>
      </c>
      <c r="W107" s="374">
        <v>14131.803906318262</v>
      </c>
      <c r="X107" s="374">
        <v>13113.518334260396</v>
      </c>
      <c r="Y107" s="376">
        <v>4471.6386094951804</v>
      </c>
    </row>
    <row r="108" spans="1:25" x14ac:dyDescent="0.35">
      <c r="E108" s="377" t="s">
        <v>477</v>
      </c>
      <c r="F108" s="372"/>
      <c r="G108" s="373" t="s">
        <v>473</v>
      </c>
      <c r="H108" s="372"/>
      <c r="I108" s="372"/>
      <c r="J108" s="374">
        <v>422328.75098461192</v>
      </c>
      <c r="K108" s="375"/>
      <c r="L108" s="374">
        <v>0</v>
      </c>
      <c r="M108" s="374">
        <v>0</v>
      </c>
      <c r="N108" s="374">
        <v>10883.385337362706</v>
      </c>
      <c r="O108" s="374">
        <v>35213.532752251318</v>
      </c>
      <c r="P108" s="374">
        <v>50061.112617606879</v>
      </c>
      <c r="Q108" s="374">
        <v>47996.718710288435</v>
      </c>
      <c r="R108" s="374">
        <v>45932.32480296999</v>
      </c>
      <c r="S108" s="374">
        <v>43867.930895651545</v>
      </c>
      <c r="T108" s="374">
        <v>41803.5369883331</v>
      </c>
      <c r="U108" s="374">
        <v>39739.143081014663</v>
      </c>
      <c r="V108" s="374">
        <v>37674.749173696211</v>
      </c>
      <c r="W108" s="374">
        <v>35610.355266377766</v>
      </c>
      <c r="X108" s="374">
        <v>33545.961359059322</v>
      </c>
      <c r="Y108" s="376">
        <v>1.3614482577009936E-12</v>
      </c>
    </row>
    <row r="109" spans="1:25" x14ac:dyDescent="0.35">
      <c r="E109" s="371" t="s">
        <v>445</v>
      </c>
      <c r="F109" s="372"/>
      <c r="G109" s="373" t="s">
        <v>473</v>
      </c>
      <c r="H109" s="372"/>
      <c r="I109" s="372"/>
      <c r="J109" s="374">
        <v>3008220.8066818789</v>
      </c>
      <c r="K109" s="375"/>
      <c r="L109" s="374">
        <v>93382.241818861454</v>
      </c>
      <c r="M109" s="374">
        <v>334971.18363564601</v>
      </c>
      <c r="N109" s="374">
        <v>498613.97536403337</v>
      </c>
      <c r="O109" s="374">
        <v>543880.18733155366</v>
      </c>
      <c r="P109" s="374">
        <v>583218.89381727879</v>
      </c>
      <c r="Q109" s="374">
        <v>546372.23036106233</v>
      </c>
      <c r="R109" s="374">
        <v>407782.09435344319</v>
      </c>
      <c r="S109" s="374">
        <v>6.8072412885049678E-13</v>
      </c>
      <c r="T109" s="374">
        <v>1.3614482577009936E-12</v>
      </c>
      <c r="U109" s="374">
        <v>1.3614482577009936E-12</v>
      </c>
      <c r="V109" s="374">
        <v>1.3614482577009936E-12</v>
      </c>
      <c r="W109" s="374">
        <v>1.3614482577009936E-12</v>
      </c>
      <c r="X109" s="374">
        <v>1.3614482577009936E-12</v>
      </c>
      <c r="Y109" s="376">
        <v>1.3614482577009936E-12</v>
      </c>
    </row>
    <row r="110" spans="1:25" ht="15" thickBot="1" x14ac:dyDescent="0.4">
      <c r="E110" s="378"/>
      <c r="F110" s="372"/>
      <c r="G110" s="379" t="s">
        <v>478</v>
      </c>
      <c r="H110" s="372"/>
      <c r="I110" s="372"/>
      <c r="J110" s="380">
        <v>41335490.352548517</v>
      </c>
      <c r="K110" s="380">
        <v>0</v>
      </c>
      <c r="L110" s="380">
        <v>791241.60743193817</v>
      </c>
      <c r="M110" s="380">
        <v>2858111.1383866481</v>
      </c>
      <c r="N110" s="380">
        <v>4269797.1390525689</v>
      </c>
      <c r="O110" s="380">
        <v>4654824.5747908205</v>
      </c>
      <c r="P110" s="380">
        <v>5015018.6060422314</v>
      </c>
      <c r="Q110" s="380">
        <v>4713658.942707248</v>
      </c>
      <c r="R110" s="380">
        <v>4312162.9261896275</v>
      </c>
      <c r="S110" s="380">
        <v>3642131.2159615303</v>
      </c>
      <c r="T110" s="380">
        <v>3379945.6634022919</v>
      </c>
      <c r="U110" s="380">
        <v>3117764.3475816003</v>
      </c>
      <c r="V110" s="380">
        <v>2862218.2056506281</v>
      </c>
      <c r="W110" s="380">
        <v>1224559.2503681551</v>
      </c>
      <c r="X110" s="380">
        <v>489386.42241670226</v>
      </c>
      <c r="Y110" s="381">
        <v>4670.3125665261769</v>
      </c>
    </row>
    <row r="111" spans="1:25" ht="15" thickBot="1" x14ac:dyDescent="0.4">
      <c r="E111" s="382"/>
      <c r="F111" s="383"/>
      <c r="G111" s="383"/>
      <c r="H111" s="383"/>
      <c r="I111" s="383"/>
      <c r="J111" s="383"/>
      <c r="K111" s="383"/>
      <c r="L111" s="383"/>
      <c r="M111" s="383"/>
      <c r="N111" s="383"/>
      <c r="O111" s="383"/>
      <c r="P111" s="383"/>
      <c r="Q111" s="383"/>
      <c r="R111" s="383"/>
      <c r="S111" s="383"/>
      <c r="T111" s="383"/>
      <c r="U111" s="383"/>
      <c r="V111" s="383"/>
      <c r="W111" s="383"/>
      <c r="X111" s="383"/>
      <c r="Y111" s="384"/>
    </row>
  </sheetData>
  <mergeCells count="8">
    <mergeCell ref="B87:E87"/>
    <mergeCell ref="A73:F73"/>
    <mergeCell ref="E49:F49"/>
    <mergeCell ref="I49:J49"/>
    <mergeCell ref="M49:N49"/>
    <mergeCell ref="E50:F50"/>
    <mergeCell ref="I50:J50"/>
    <mergeCell ref="M50:N50"/>
  </mergeCells>
  <hyperlinks>
    <hyperlink ref="E35" r:id="rId1" display="https://xcelenergy.sharepoint.com/sites/SPSC204/Shared%20Documents/Forms/AllItems.aspx?csf=1&amp;web=1&amp;e=mg0I6U&amp;xsdata=MDV8MDF8fDFkZDUyNTc4MDA2ZjQ3NWFhMTRiMDhkYmQwMWY5MTEwfDI0YjJhNTgzNWMwNTRiNmFiNGU5NGUxMmRjMDAyNWFkfDB8MHw2MzgzMzI2MDYxOTk0MDY5MjN8VW5rbm93bnxWR1ZoYlhOVFpXTjFjbWwwZVZObGNuWnBZMlY4ZXlKV0lqb2lNQzR3TGpBd01EQWlMQ0pRSWpvaVYybHVNeklpTENKQlRpSTZJazkwYUdWeUlpd2lWMVFpT2pFeGZRPT18MXxMMk5vWVhSekx6RTVPbUpqTURkbU1tRTRMVE0wTmpjdE5EQmpOQzFoTURoaUxUTmhaVFUyT0RVNU5tWTBZMTlsTVRBM05HVXpNQzFsTWpRd0xUUTJOamd0WVRnNU15MWhOREUwT1dJek1UTmxOMkpBZFc1eExtZGliQzV6Y0dGalpYTXZiV1Z6YzJGblpYTXZNVFk1TnpZMk16Z3hPRFF4TWc9PXw0NGExZmY1YWE3ZDQ0M2RhYTE0YjA4ZGJkMDFmOTExMHw5MmVkNDQ5OGQ1MmU0YzlhODdiYWNmYzU4OTZhOWYwOA%3D%3D&amp;sdata=SHJENHIyMGhDU1plWDRxQ1JKcHFNaXM5Sm1KQzYxN1FGNzYvRlRCaGhhZz0%3D&amp;ovuser=24b2a583%2D5c05%2D4b6a%2Db4e9%2D4e12dc0025ad%2CAndre%2EGouin%40XCELENERGY%2ECOM&amp;OR=Teams%2DHL&amp;CT=1697728368012&amp;clickparams=eyJBcHBOYW1lIjoiVGVhbXMtRGVza3RvcCIsIkFwcFZlcnNpb24iOiIyNy8yMzA5MDExMjI3OCIsIkhhc0ZlZGVyYXRlZFVzZXIiOmZhbHNlfQ%3D%3D&amp;cid=87d19691%2D1973%2D4ae2%2Da45c%2D49e8bee7bef0&amp;RootFolder=%2Fsites%2FSPSC204%2FShared%20Documents%2FElectric%20Vehicles%2FRegulatory%2FNSP%2DDE%2FNSPM%5FTEP%2FGH&amp;FolderCTID=0x0120003F30784325DAE341A5F21703BF778D6E" xr:uid="{4C446C94-B288-4C4F-B031-09763E77830A}"/>
  </hyperlinks>
  <pageMargins left="0.7" right="0.7" top="0.75" bottom="0.75" header="0.3" footer="0.3"/>
  <pageSetup orientation="portrait"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E5222-9FE0-4379-AA46-92CE374AE145}">
  <sheetPr>
    <tabColor theme="9" tint="0.79998168889431442"/>
  </sheetPr>
  <dimension ref="B2:AB122"/>
  <sheetViews>
    <sheetView workbookViewId="0">
      <selection activeCell="F20" sqref="F20:I20"/>
    </sheetView>
  </sheetViews>
  <sheetFormatPr defaultRowHeight="14.5" x14ac:dyDescent="0.35"/>
  <cols>
    <col min="2" max="2" width="13.453125" customWidth="1"/>
    <col min="3" max="26" width="9.54296875" bestFit="1" customWidth="1"/>
  </cols>
  <sheetData>
    <row r="2" spans="2:28" s="53" customFormat="1" x14ac:dyDescent="0.35"/>
    <row r="3" spans="2:28" x14ac:dyDescent="0.35">
      <c r="B3" s="54" t="s">
        <v>479</v>
      </c>
      <c r="C3" s="21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3"/>
    </row>
    <row r="4" spans="2:28" s="53" customFormat="1" x14ac:dyDescent="0.35">
      <c r="B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 spans="2:28" s="53" customFormat="1" x14ac:dyDescent="0.35">
      <c r="B5" s="56" t="s">
        <v>166</v>
      </c>
      <c r="C5" s="57">
        <v>0</v>
      </c>
      <c r="D5" s="57">
        <v>1</v>
      </c>
      <c r="E5" s="57">
        <v>2</v>
      </c>
      <c r="F5" s="57">
        <v>3</v>
      </c>
      <c r="G5" s="57">
        <v>4</v>
      </c>
      <c r="H5" s="57">
        <v>5</v>
      </c>
      <c r="I5" s="57">
        <v>6</v>
      </c>
      <c r="J5" s="57">
        <v>7</v>
      </c>
      <c r="K5" s="57">
        <v>8</v>
      </c>
      <c r="L5" s="57">
        <v>9</v>
      </c>
      <c r="M5" s="57">
        <v>10</v>
      </c>
      <c r="N5" s="57">
        <v>11</v>
      </c>
      <c r="O5" s="57">
        <v>12</v>
      </c>
      <c r="P5" s="57">
        <v>13</v>
      </c>
      <c r="Q5" s="57">
        <v>14</v>
      </c>
      <c r="R5" s="57">
        <v>15</v>
      </c>
      <c r="S5" s="57">
        <v>16</v>
      </c>
      <c r="T5" s="57">
        <v>17</v>
      </c>
      <c r="U5" s="57">
        <v>18</v>
      </c>
      <c r="V5" s="57">
        <v>19</v>
      </c>
      <c r="W5" s="57">
        <v>20</v>
      </c>
      <c r="X5" s="57">
        <v>21</v>
      </c>
      <c r="Y5" s="57">
        <v>22</v>
      </c>
      <c r="Z5" s="57">
        <v>23</v>
      </c>
    </row>
    <row r="6" spans="2:28" s="53" customFormat="1" x14ac:dyDescent="0.35">
      <c r="B6" s="56">
        <v>1</v>
      </c>
      <c r="C6" s="198">
        <v>25.110967741935482</v>
      </c>
      <c r="D6" s="198">
        <v>23.415161290322583</v>
      </c>
      <c r="E6" s="198">
        <v>22.14709677419355</v>
      </c>
      <c r="F6" s="198">
        <v>21.790645161290325</v>
      </c>
      <c r="G6" s="198">
        <v>22.220967741935489</v>
      </c>
      <c r="H6" s="198">
        <v>24.059354838709684</v>
      </c>
      <c r="I6" s="198">
        <v>27.697741935483876</v>
      </c>
      <c r="J6" s="198">
        <v>34.404838709677428</v>
      </c>
      <c r="K6" s="198">
        <v>36.391612903225813</v>
      </c>
      <c r="L6" s="198">
        <v>35.926129032258068</v>
      </c>
      <c r="M6" s="198">
        <v>34.774516129032257</v>
      </c>
      <c r="N6" s="198">
        <v>33.419677419354841</v>
      </c>
      <c r="O6" s="198">
        <v>32.123548387096768</v>
      </c>
      <c r="P6" s="198">
        <v>30.790645161290325</v>
      </c>
      <c r="Q6" s="198">
        <v>29.07</v>
      </c>
      <c r="R6" s="198">
        <v>28.433870967741932</v>
      </c>
      <c r="S6" s="198">
        <v>30.724516129032256</v>
      </c>
      <c r="T6" s="198">
        <v>37.266129032258071</v>
      </c>
      <c r="U6" s="198">
        <v>39.858709677419355</v>
      </c>
      <c r="V6" s="198">
        <v>34.808064516129029</v>
      </c>
      <c r="W6" s="198">
        <v>32.366774193548387</v>
      </c>
      <c r="X6" s="198">
        <v>29.699032258064523</v>
      </c>
      <c r="Y6" s="198">
        <v>27.397741935483868</v>
      </c>
      <c r="Z6" s="198">
        <v>26.772258064516134</v>
      </c>
      <c r="AB6" s="91" t="s">
        <v>480</v>
      </c>
    </row>
    <row r="7" spans="2:28" s="53" customFormat="1" x14ac:dyDescent="0.35">
      <c r="B7" s="56">
        <v>2</v>
      </c>
      <c r="C7" s="198">
        <v>16.714642857142859</v>
      </c>
      <c r="D7" s="198">
        <v>15.45678571428571</v>
      </c>
      <c r="E7" s="198">
        <v>14.65892857142857</v>
      </c>
      <c r="F7" s="198">
        <v>14.912142857142854</v>
      </c>
      <c r="G7" s="198">
        <v>15.496071428571431</v>
      </c>
      <c r="H7" s="198">
        <v>18.318928571428568</v>
      </c>
      <c r="I7" s="198">
        <v>22.212857142857143</v>
      </c>
      <c r="J7" s="198">
        <v>26.779642857142868</v>
      </c>
      <c r="K7" s="198">
        <v>28.271428571428572</v>
      </c>
      <c r="L7" s="198">
        <v>26.077500000000008</v>
      </c>
      <c r="M7" s="198">
        <v>24.53464285714286</v>
      </c>
      <c r="N7" s="198">
        <v>22.449285714285715</v>
      </c>
      <c r="O7" s="198">
        <v>20.890000000000004</v>
      </c>
      <c r="P7" s="198">
        <v>19.213571428571431</v>
      </c>
      <c r="Q7" s="198">
        <v>18.476428571428567</v>
      </c>
      <c r="R7" s="198">
        <v>17.633571428571432</v>
      </c>
      <c r="S7" s="198">
        <v>18.987500000000001</v>
      </c>
      <c r="T7" s="198">
        <v>21.938214285714285</v>
      </c>
      <c r="U7" s="198">
        <v>25.851428571428567</v>
      </c>
      <c r="V7" s="198">
        <v>24.497857142857146</v>
      </c>
      <c r="W7" s="198">
        <v>22.330357142857142</v>
      </c>
      <c r="X7" s="198">
        <v>20.371785714285718</v>
      </c>
      <c r="Y7" s="198">
        <v>18.937142857142856</v>
      </c>
      <c r="Z7" s="198">
        <v>18.151785714285719</v>
      </c>
      <c r="AB7" s="53" t="s">
        <v>481</v>
      </c>
    </row>
    <row r="8" spans="2:28" s="53" customFormat="1" x14ac:dyDescent="0.35">
      <c r="B8" s="56">
        <v>3</v>
      </c>
      <c r="C8" s="198">
        <v>21.910645161290322</v>
      </c>
      <c r="D8" s="198">
        <v>20.652258064516133</v>
      </c>
      <c r="E8" s="198">
        <v>20.536451612903221</v>
      </c>
      <c r="F8" s="198">
        <v>20.3816129032258</v>
      </c>
      <c r="G8" s="198">
        <v>21.626774193548389</v>
      </c>
      <c r="H8" s="198">
        <v>25.495806451612907</v>
      </c>
      <c r="I8" s="198">
        <v>30.081290322580646</v>
      </c>
      <c r="J8" s="198">
        <v>32.460322580645148</v>
      </c>
      <c r="K8" s="198">
        <v>31.159677419354839</v>
      </c>
      <c r="L8" s="198">
        <v>29.9958064516129</v>
      </c>
      <c r="M8" s="198">
        <v>28.232903225806453</v>
      </c>
      <c r="N8" s="198">
        <v>26.227096774193548</v>
      </c>
      <c r="O8" s="198">
        <v>25.691612903225806</v>
      </c>
      <c r="P8" s="198">
        <v>24.447741935483879</v>
      </c>
      <c r="Q8" s="198">
        <v>23.174516129032249</v>
      </c>
      <c r="R8" s="198">
        <v>22.653548387096773</v>
      </c>
      <c r="S8" s="198">
        <v>23.532903225806447</v>
      </c>
      <c r="T8" s="198">
        <v>26.132580645161287</v>
      </c>
      <c r="U8" s="198">
        <v>28.7458064516129</v>
      </c>
      <c r="V8" s="198">
        <v>31.181612903225798</v>
      </c>
      <c r="W8" s="198">
        <v>28.830967741935481</v>
      </c>
      <c r="X8" s="198">
        <v>25.222258064516133</v>
      </c>
      <c r="Y8" s="198">
        <v>24.049677419354836</v>
      </c>
      <c r="Z8" s="198">
        <v>22.902580645161294</v>
      </c>
      <c r="AB8" s="53" t="s">
        <v>482</v>
      </c>
    </row>
    <row r="9" spans="2:28" s="53" customFormat="1" x14ac:dyDescent="0.35">
      <c r="B9" s="56">
        <v>4</v>
      </c>
      <c r="C9" s="198">
        <v>17.545666666666669</v>
      </c>
      <c r="D9" s="198">
        <v>15.898999999999999</v>
      </c>
      <c r="E9" s="198">
        <v>15.606999999999998</v>
      </c>
      <c r="F9" s="198">
        <v>16.067333333333334</v>
      </c>
      <c r="G9" s="198">
        <v>18.452666666666666</v>
      </c>
      <c r="H9" s="198">
        <v>22.456999999999997</v>
      </c>
      <c r="I9" s="198">
        <v>26.786999999999999</v>
      </c>
      <c r="J9" s="198">
        <v>28.588333333333342</v>
      </c>
      <c r="K9" s="198">
        <v>28.181333333333335</v>
      </c>
      <c r="L9" s="198">
        <v>26.378666666666668</v>
      </c>
      <c r="M9" s="198">
        <v>24.246333333333332</v>
      </c>
      <c r="N9" s="198">
        <v>22.90666666666667</v>
      </c>
      <c r="O9" s="198">
        <v>21.136333333333337</v>
      </c>
      <c r="P9" s="198">
        <v>20.697999999999997</v>
      </c>
      <c r="Q9" s="198">
        <v>19.594666666666672</v>
      </c>
      <c r="R9" s="198">
        <v>19.888333333333332</v>
      </c>
      <c r="S9" s="198">
        <v>21.627333333333333</v>
      </c>
      <c r="T9" s="198">
        <v>24.913666666666668</v>
      </c>
      <c r="U9" s="198">
        <v>28.473333333333333</v>
      </c>
      <c r="V9" s="198">
        <v>33.307666666666663</v>
      </c>
      <c r="W9" s="198">
        <v>29.945999999999987</v>
      </c>
      <c r="X9" s="198">
        <v>24.757666666666658</v>
      </c>
      <c r="Y9" s="198">
        <v>22.826333333333331</v>
      </c>
      <c r="Z9" s="198">
        <v>19.668666666666674</v>
      </c>
    </row>
    <row r="10" spans="2:28" s="53" customFormat="1" x14ac:dyDescent="0.35">
      <c r="B10" s="56">
        <v>5</v>
      </c>
      <c r="C10" s="198">
        <v>12.305483870967743</v>
      </c>
      <c r="D10" s="198">
        <v>10.662580645161288</v>
      </c>
      <c r="E10" s="198">
        <v>10.352903225806452</v>
      </c>
      <c r="F10" s="198">
        <v>10.50741935483871</v>
      </c>
      <c r="G10" s="198">
        <v>12.921612903225808</v>
      </c>
      <c r="H10" s="198">
        <v>17.165483870967737</v>
      </c>
      <c r="I10" s="198">
        <v>20.350967741935492</v>
      </c>
      <c r="J10" s="198">
        <v>23.932580645161291</v>
      </c>
      <c r="K10" s="198">
        <v>27.39935483870968</v>
      </c>
      <c r="L10" s="198">
        <v>26.980967741935487</v>
      </c>
      <c r="M10" s="198">
        <v>26.608709677419363</v>
      </c>
      <c r="N10" s="198">
        <v>26.609032258064516</v>
      </c>
      <c r="O10" s="198">
        <v>26.74129032258065</v>
      </c>
      <c r="P10" s="198">
        <v>27.542580645161291</v>
      </c>
      <c r="Q10" s="198">
        <v>27.728709677419349</v>
      </c>
      <c r="R10" s="198">
        <v>29.811935483870972</v>
      </c>
      <c r="S10" s="198">
        <v>32.874193548387098</v>
      </c>
      <c r="T10" s="198">
        <v>35.518709677419352</v>
      </c>
      <c r="U10" s="198">
        <v>34.651290322580643</v>
      </c>
      <c r="V10" s="198">
        <v>32.984516129032251</v>
      </c>
      <c r="W10" s="198">
        <v>30.922580645161286</v>
      </c>
      <c r="X10" s="198">
        <v>24.546129032258062</v>
      </c>
      <c r="Y10" s="198">
        <v>19.996129032258064</v>
      </c>
      <c r="Z10" s="198">
        <v>16.23322580645161</v>
      </c>
    </row>
    <row r="11" spans="2:28" s="53" customFormat="1" x14ac:dyDescent="0.35">
      <c r="B11" s="56">
        <v>6</v>
      </c>
      <c r="C11" s="198">
        <v>19.193333333333332</v>
      </c>
      <c r="D11" s="198">
        <v>16.940000000000005</v>
      </c>
      <c r="E11" s="198">
        <v>15.844666666666667</v>
      </c>
      <c r="F11" s="198">
        <v>15.456999999999999</v>
      </c>
      <c r="G11" s="198">
        <v>16.626999999999999</v>
      </c>
      <c r="H11" s="198">
        <v>18.901666666666667</v>
      </c>
      <c r="I11" s="198">
        <v>20.128000000000004</v>
      </c>
      <c r="J11" s="198">
        <v>23.615333333333336</v>
      </c>
      <c r="K11" s="198">
        <v>27.173000000000002</v>
      </c>
      <c r="L11" s="198">
        <v>29.940666666666672</v>
      </c>
      <c r="M11" s="198">
        <v>32.159999999999989</v>
      </c>
      <c r="N11" s="198">
        <v>34.56933333333334</v>
      </c>
      <c r="O11" s="198">
        <v>38.178333333333327</v>
      </c>
      <c r="P11" s="198">
        <v>41.741666666666667</v>
      </c>
      <c r="Q11" s="198">
        <v>45.00033333333333</v>
      </c>
      <c r="R11" s="198">
        <v>49.596333333333355</v>
      </c>
      <c r="S11" s="198">
        <v>54.43833333333334</v>
      </c>
      <c r="T11" s="198">
        <v>55.234666666666648</v>
      </c>
      <c r="U11" s="198">
        <v>51.396333333333338</v>
      </c>
      <c r="V11" s="198">
        <v>46.913333333333327</v>
      </c>
      <c r="W11" s="198">
        <v>40.50033333333333</v>
      </c>
      <c r="X11" s="198">
        <v>32.10466666666666</v>
      </c>
      <c r="Y11" s="198">
        <v>25.878000000000004</v>
      </c>
      <c r="Z11" s="198">
        <v>22.239333333333331</v>
      </c>
    </row>
    <row r="12" spans="2:28" s="53" customFormat="1" x14ac:dyDescent="0.35">
      <c r="B12" s="56">
        <v>7</v>
      </c>
      <c r="C12" s="198">
        <v>21.195161290322581</v>
      </c>
      <c r="D12" s="198">
        <v>19.122903225806454</v>
      </c>
      <c r="E12" s="198">
        <v>18.081612903225807</v>
      </c>
      <c r="F12" s="198">
        <v>17.430645161290325</v>
      </c>
      <c r="G12" s="198">
        <v>17.883870967741931</v>
      </c>
      <c r="H12" s="198">
        <v>19.204838709677425</v>
      </c>
      <c r="I12" s="198">
        <v>19.992903225806451</v>
      </c>
      <c r="J12" s="198">
        <v>22.769354838709681</v>
      </c>
      <c r="K12" s="198">
        <v>27.778387096774193</v>
      </c>
      <c r="L12" s="198">
        <v>31.731290322580648</v>
      </c>
      <c r="M12" s="198">
        <v>34.509677419354837</v>
      </c>
      <c r="N12" s="198">
        <v>38.210322580645162</v>
      </c>
      <c r="O12" s="198">
        <v>42.531612903225806</v>
      </c>
      <c r="P12" s="198">
        <v>46.303870967741943</v>
      </c>
      <c r="Q12" s="198">
        <v>48.517419354838715</v>
      </c>
      <c r="R12" s="198">
        <v>53.857741935483872</v>
      </c>
      <c r="S12" s="198">
        <v>60.171612903225821</v>
      </c>
      <c r="T12" s="198">
        <v>60.288709677419348</v>
      </c>
      <c r="U12" s="198">
        <v>57.562903225806451</v>
      </c>
      <c r="V12" s="198">
        <v>50.688064516129039</v>
      </c>
      <c r="W12" s="198">
        <v>43.999354838709671</v>
      </c>
      <c r="X12" s="198">
        <v>33.799354838709675</v>
      </c>
      <c r="Y12" s="198">
        <v>27.86032258064516</v>
      </c>
      <c r="Z12" s="198">
        <v>23.81774193548387</v>
      </c>
    </row>
    <row r="13" spans="2:28" s="53" customFormat="1" x14ac:dyDescent="0.35">
      <c r="B13" s="56">
        <v>8</v>
      </c>
      <c r="C13" s="198">
        <v>41.130645161290325</v>
      </c>
      <c r="D13" s="198">
        <v>36.349032258064518</v>
      </c>
      <c r="E13" s="198">
        <v>33.845483870967733</v>
      </c>
      <c r="F13" s="198">
        <v>32.686129032258066</v>
      </c>
      <c r="G13" s="198">
        <v>34.759354838709676</v>
      </c>
      <c r="H13" s="198">
        <v>41.9874193548387</v>
      </c>
      <c r="I13" s="198">
        <v>47.270645161290325</v>
      </c>
      <c r="J13" s="198">
        <v>53.159354838709682</v>
      </c>
      <c r="K13" s="198">
        <v>60.89967741935483</v>
      </c>
      <c r="L13" s="198">
        <v>67.687096774193549</v>
      </c>
      <c r="M13" s="198">
        <v>70.810645161290324</v>
      </c>
      <c r="N13" s="198">
        <v>75.698709677419359</v>
      </c>
      <c r="O13" s="198">
        <v>79.508709677419361</v>
      </c>
      <c r="P13" s="198">
        <v>84.557096774193568</v>
      </c>
      <c r="Q13" s="198">
        <v>88.291612903225825</v>
      </c>
      <c r="R13" s="198">
        <v>97.039354838709684</v>
      </c>
      <c r="S13" s="198">
        <v>100.75387096774196</v>
      </c>
      <c r="T13" s="198">
        <v>102.81870967741935</v>
      </c>
      <c r="U13" s="198">
        <v>96.876774193548385</v>
      </c>
      <c r="V13" s="198">
        <v>90.332903225806476</v>
      </c>
      <c r="W13" s="198">
        <v>79.419354838709694</v>
      </c>
      <c r="X13" s="198">
        <v>65.522903225806445</v>
      </c>
      <c r="Y13" s="198">
        <v>56.075806451612891</v>
      </c>
      <c r="Z13" s="198">
        <v>50.46290322580645</v>
      </c>
    </row>
    <row r="14" spans="2:28" s="53" customFormat="1" x14ac:dyDescent="0.35">
      <c r="B14" s="56">
        <v>9</v>
      </c>
      <c r="C14" s="198">
        <v>31.439333333333341</v>
      </c>
      <c r="D14" s="198">
        <v>28.311333333333337</v>
      </c>
      <c r="E14" s="198">
        <v>26.699333333333339</v>
      </c>
      <c r="F14" s="198">
        <v>25.713666666666665</v>
      </c>
      <c r="G14" s="198">
        <v>28.445666666666664</v>
      </c>
      <c r="H14" s="198">
        <v>37.638666666666673</v>
      </c>
      <c r="I14" s="198">
        <v>45.905666666666676</v>
      </c>
      <c r="J14" s="198">
        <v>48.420333333333346</v>
      </c>
      <c r="K14" s="198">
        <v>55.664000000000001</v>
      </c>
      <c r="L14" s="198">
        <v>62.650666666666652</v>
      </c>
      <c r="M14" s="198">
        <v>64.563000000000002</v>
      </c>
      <c r="N14" s="198">
        <v>65.746333333333325</v>
      </c>
      <c r="O14" s="198">
        <v>66.153666666666652</v>
      </c>
      <c r="P14" s="198">
        <v>68.634999999999991</v>
      </c>
      <c r="Q14" s="198">
        <v>70.048333333333332</v>
      </c>
      <c r="R14" s="198">
        <v>77.115333333333325</v>
      </c>
      <c r="S14" s="198">
        <v>80.660999999999987</v>
      </c>
      <c r="T14" s="198">
        <v>81.747000000000014</v>
      </c>
      <c r="U14" s="198">
        <v>82.257999999999981</v>
      </c>
      <c r="V14" s="198">
        <v>75.944999999999993</v>
      </c>
      <c r="W14" s="198">
        <v>63.469333333333331</v>
      </c>
      <c r="X14" s="198">
        <v>51.050000000000004</v>
      </c>
      <c r="Y14" s="198">
        <v>43.721333333333334</v>
      </c>
      <c r="Z14" s="198">
        <v>36.568666666666672</v>
      </c>
    </row>
    <row r="15" spans="2:28" s="53" customFormat="1" x14ac:dyDescent="0.35">
      <c r="B15" s="56">
        <v>10</v>
      </c>
      <c r="C15" s="198">
        <v>24.868387096774192</v>
      </c>
      <c r="D15" s="198">
        <v>23.45129032258064</v>
      </c>
      <c r="E15" s="198">
        <v>22.988709677419354</v>
      </c>
      <c r="F15" s="198">
        <v>23.295483870967733</v>
      </c>
      <c r="G15" s="198">
        <v>25.926129032258061</v>
      </c>
      <c r="H15" s="198">
        <v>33.200967741935486</v>
      </c>
      <c r="I15" s="198">
        <v>44.354838709677416</v>
      </c>
      <c r="J15" s="198">
        <v>47.678709677419349</v>
      </c>
      <c r="K15" s="198">
        <v>45.77</v>
      </c>
      <c r="L15" s="198">
        <v>48.52000000000001</v>
      </c>
      <c r="M15" s="198">
        <v>46.922258064516136</v>
      </c>
      <c r="N15" s="198">
        <v>44.723870967741938</v>
      </c>
      <c r="O15" s="198">
        <v>42.582903225806454</v>
      </c>
      <c r="P15" s="198">
        <v>40.75322580645161</v>
      </c>
      <c r="Q15" s="198">
        <v>39.60290322580645</v>
      </c>
      <c r="R15" s="198">
        <v>41.33580645161291</v>
      </c>
      <c r="S15" s="198">
        <v>44.634193548387096</v>
      </c>
      <c r="T15" s="198">
        <v>57.186129032258073</v>
      </c>
      <c r="U15" s="198">
        <v>68.185161290322569</v>
      </c>
      <c r="V15" s="198">
        <v>54.474838709677428</v>
      </c>
      <c r="W15" s="198">
        <v>44.93</v>
      </c>
      <c r="X15" s="198">
        <v>37.649032258064516</v>
      </c>
      <c r="Y15" s="198">
        <v>31.122580645161289</v>
      </c>
      <c r="Z15" s="198">
        <v>28.28064516129033</v>
      </c>
    </row>
    <row r="16" spans="2:28" s="53" customFormat="1" x14ac:dyDescent="0.35">
      <c r="B16" s="56">
        <v>11</v>
      </c>
      <c r="C16" s="198">
        <v>20.612333333333336</v>
      </c>
      <c r="D16" s="198">
        <v>17.080333333333336</v>
      </c>
      <c r="E16" s="198">
        <v>16.452999999999999</v>
      </c>
      <c r="F16" s="198">
        <v>15.849000000000002</v>
      </c>
      <c r="G16" s="198">
        <v>16.428666666666665</v>
      </c>
      <c r="H16" s="198">
        <v>18.74766666666666</v>
      </c>
      <c r="I16" s="198">
        <v>26.721</v>
      </c>
      <c r="J16" s="198">
        <v>34.921000000000006</v>
      </c>
      <c r="K16" s="198">
        <v>33.649000000000008</v>
      </c>
      <c r="L16" s="198">
        <v>35.146999999999998</v>
      </c>
      <c r="M16" s="198">
        <v>35.285666666666671</v>
      </c>
      <c r="N16" s="198">
        <v>34.864333333333327</v>
      </c>
      <c r="O16" s="198">
        <v>32.971000000000004</v>
      </c>
      <c r="P16" s="198">
        <v>30.814666666666668</v>
      </c>
      <c r="Q16" s="198">
        <v>29.092666666666666</v>
      </c>
      <c r="R16" s="198">
        <v>30.223000000000003</v>
      </c>
      <c r="S16" s="198">
        <v>33.857333333333337</v>
      </c>
      <c r="T16" s="198">
        <v>47.63133333333333</v>
      </c>
      <c r="U16" s="198">
        <v>49.956666666666656</v>
      </c>
      <c r="V16" s="198">
        <v>40.215999999999994</v>
      </c>
      <c r="W16" s="198">
        <v>35.04666666666666</v>
      </c>
      <c r="X16" s="198">
        <v>31.931000000000001</v>
      </c>
      <c r="Y16" s="198">
        <v>27.616000000000003</v>
      </c>
      <c r="Z16" s="198">
        <v>24.935999999999996</v>
      </c>
    </row>
    <row r="17" spans="2:26" s="53" customFormat="1" x14ac:dyDescent="0.35">
      <c r="B17" s="56">
        <v>12</v>
      </c>
      <c r="C17" s="198">
        <v>35.384516129032257</v>
      </c>
      <c r="D17" s="198">
        <v>28.759354838709672</v>
      </c>
      <c r="E17" s="198">
        <v>26.349677419354837</v>
      </c>
      <c r="F17" s="198">
        <v>24.888709677419349</v>
      </c>
      <c r="G17" s="198">
        <v>25.329354838709683</v>
      </c>
      <c r="H17" s="198">
        <v>27.583548387096773</v>
      </c>
      <c r="I17" s="198">
        <v>32.499677419354846</v>
      </c>
      <c r="J17" s="198">
        <v>44.702580645161284</v>
      </c>
      <c r="K17" s="198">
        <v>48.157096774193541</v>
      </c>
      <c r="L17" s="198">
        <v>49.294516129032274</v>
      </c>
      <c r="M17" s="198">
        <v>47.667096774193546</v>
      </c>
      <c r="N17" s="198">
        <v>45.875161290322588</v>
      </c>
      <c r="O17" s="198">
        <v>44.36161290322579</v>
      </c>
      <c r="P17" s="198">
        <v>42.025161290322579</v>
      </c>
      <c r="Q17" s="198">
        <v>40.428064516129041</v>
      </c>
      <c r="R17" s="198">
        <v>40.445806451612903</v>
      </c>
      <c r="S17" s="198">
        <v>43.732258064516124</v>
      </c>
      <c r="T17" s="198">
        <v>57.570322580645161</v>
      </c>
      <c r="U17" s="198">
        <v>58.48516129032258</v>
      </c>
      <c r="V17" s="198">
        <v>51.246451612903222</v>
      </c>
      <c r="W17" s="198">
        <v>46.146451612903228</v>
      </c>
      <c r="X17" s="198">
        <v>42.032580645161289</v>
      </c>
      <c r="Y17" s="198">
        <v>38.938064516129039</v>
      </c>
      <c r="Z17" s="198">
        <v>35.389354838709679</v>
      </c>
    </row>
    <row r="19" spans="2:26" x14ac:dyDescent="0.35">
      <c r="C19" s="2" t="s">
        <v>483</v>
      </c>
    </row>
    <row r="20" spans="2:26" x14ac:dyDescent="0.35">
      <c r="B20" s="56" t="s">
        <v>166</v>
      </c>
      <c r="C20" s="3" t="s">
        <v>85</v>
      </c>
      <c r="D20" s="3" t="s">
        <v>88</v>
      </c>
      <c r="E20" s="3" t="s">
        <v>87</v>
      </c>
      <c r="G20" s="2" t="s">
        <v>484</v>
      </c>
    </row>
    <row r="21" spans="2:26" x14ac:dyDescent="0.35">
      <c r="B21" s="56">
        <v>1</v>
      </c>
      <c r="C21" s="58">
        <f>SUMPRODUCT('Load Data'!C6:Z6,'Cost to Serve'!C6:Z6)</f>
        <v>29.166887743944898</v>
      </c>
      <c r="D21" s="58">
        <f>SUMPRODUCT('Load Data'!AB6:AY6,'Cost to Serve'!C6:Z6)</f>
        <v>32.04001756236552</v>
      </c>
      <c r="E21" s="58">
        <f>SUMPRODUCT('Load Data'!BA6:BX6,'Cost to Serve'!C6:Z6)</f>
        <v>32.512561356825906</v>
      </c>
      <c r="G21">
        <v>744</v>
      </c>
    </row>
    <row r="22" spans="2:26" x14ac:dyDescent="0.35">
      <c r="B22" s="56">
        <v>2</v>
      </c>
      <c r="C22" s="58">
        <f>SUMPRODUCT('Load Data'!C7:Z7,'Cost to Serve'!C7:Z7)</f>
        <v>19.898981808914574</v>
      </c>
      <c r="D22" s="58">
        <f>SUMPRODUCT('Load Data'!AB7:AY7,'Cost to Serve'!C7:Z7)</f>
        <v>21.541233709827779</v>
      </c>
      <c r="E22" s="58">
        <f>SUMPRODUCT('Load Data'!BA7:BX7,'Cost to Serve'!C7:Z7)</f>
        <v>22.670606709770091</v>
      </c>
      <c r="G22">
        <v>672</v>
      </c>
    </row>
    <row r="23" spans="2:26" x14ac:dyDescent="0.35">
      <c r="B23" s="56">
        <v>3</v>
      </c>
      <c r="C23" s="58">
        <f>SUMPRODUCT('Load Data'!C8:Z8,'Cost to Serve'!C8:Z8)</f>
        <v>25.092902616569418</v>
      </c>
      <c r="D23" s="58">
        <f>SUMPRODUCT('Load Data'!AB8:AY8,'Cost to Serve'!C8:Z8)</f>
        <v>26.286192499974081</v>
      </c>
      <c r="E23" s="58">
        <f>SUMPRODUCT('Load Data'!BA8:BX8,'Cost to Serve'!C8:Z8)</f>
        <v>27.318518005112121</v>
      </c>
      <c r="G23">
        <v>744</v>
      </c>
    </row>
    <row r="24" spans="2:26" x14ac:dyDescent="0.35">
      <c r="B24" s="56">
        <v>4</v>
      </c>
      <c r="C24" s="58">
        <f>SUMPRODUCT('Load Data'!C9:Z9,'Cost to Serve'!C9:Z9)</f>
        <v>22.695290916624536</v>
      </c>
      <c r="D24" s="58">
        <f>SUMPRODUCT('Load Data'!AB9:AY9,'Cost to Serve'!C9:Z9)</f>
        <v>23.828398367884525</v>
      </c>
      <c r="E24" s="58">
        <f>SUMPRODUCT('Load Data'!BA9:BX9,'Cost to Serve'!C9:Z9)</f>
        <v>24.265977722744076</v>
      </c>
      <c r="G24">
        <v>720</v>
      </c>
    </row>
    <row r="25" spans="2:26" x14ac:dyDescent="0.35">
      <c r="B25" s="56">
        <v>5</v>
      </c>
      <c r="C25" s="58">
        <f>SUMPRODUCT('Load Data'!C10:Z10,'Cost to Serve'!C10:Z10)</f>
        <v>22.165935689146565</v>
      </c>
      <c r="D25" s="58">
        <f>SUMPRODUCT('Load Data'!AB10:AY10,'Cost to Serve'!C10:Z10)</f>
        <v>27.182557209724035</v>
      </c>
      <c r="E25" s="58">
        <f>SUMPRODUCT('Load Data'!BA10:BX10,'Cost to Serve'!C10:Z10)</f>
        <v>26.232778410201725</v>
      </c>
      <c r="G25">
        <v>744</v>
      </c>
    </row>
    <row r="26" spans="2:26" x14ac:dyDescent="0.35">
      <c r="B26" s="56">
        <v>6</v>
      </c>
      <c r="C26" s="58">
        <f>SUMPRODUCT('Load Data'!C11:Z11,'Cost to Serve'!C11:Z11)</f>
        <v>30.480512965822129</v>
      </c>
      <c r="D26" s="58">
        <f>SUMPRODUCT('Load Data'!AB11:AY11,'Cost to Serve'!C11:Z11)</f>
        <v>38.183364363719555</v>
      </c>
      <c r="E26" s="58">
        <f>SUMPRODUCT('Load Data'!BA11:BX11,'Cost to Serve'!C11:Z11)</f>
        <v>34.188093509633163</v>
      </c>
      <c r="G26">
        <v>720</v>
      </c>
    </row>
    <row r="27" spans="2:26" x14ac:dyDescent="0.35">
      <c r="B27" s="56">
        <v>7</v>
      </c>
      <c r="C27" s="58">
        <f>SUMPRODUCT('Load Data'!C12:Z12,'Cost to Serve'!C12:Z12)</f>
        <v>32.997813483508942</v>
      </c>
      <c r="D27" s="58">
        <f>SUMPRODUCT('Load Data'!AB12:AY12,'Cost to Serve'!C12:Z12)</f>
        <v>41.494431422503816</v>
      </c>
      <c r="E27" s="58">
        <f>SUMPRODUCT('Load Data'!BA12:BX12,'Cost to Serve'!C12:Z12)</f>
        <v>36.760195979663465</v>
      </c>
      <c r="G27">
        <v>744</v>
      </c>
    </row>
    <row r="28" spans="2:26" x14ac:dyDescent="0.35">
      <c r="B28" s="56">
        <v>8</v>
      </c>
      <c r="C28" s="58">
        <f>SUMPRODUCT('Load Data'!C13:Z13,'Cost to Serve'!C13:Z13)</f>
        <v>62.516001149068892</v>
      </c>
      <c r="D28" s="58">
        <f>SUMPRODUCT('Load Data'!AB13:AY13,'Cost to Serve'!C13:Z13)</f>
        <v>77.20407966812509</v>
      </c>
      <c r="E28" s="58">
        <f>SUMPRODUCT('Load Data'!BA13:BX13,'Cost to Serve'!C13:Z13)</f>
        <v>71.429957803086438</v>
      </c>
      <c r="G28">
        <v>744</v>
      </c>
    </row>
    <row r="29" spans="2:26" x14ac:dyDescent="0.35">
      <c r="B29" s="56">
        <v>9</v>
      </c>
      <c r="C29" s="58">
        <f>SUMPRODUCT('Load Data'!C14:Z14,'Cost to Serve'!C14:Z14)</f>
        <v>50.87139693303309</v>
      </c>
      <c r="D29" s="58">
        <f>SUMPRODUCT('Load Data'!AB14:AY14,'Cost to Serve'!C14:Z14)</f>
        <v>64.146245512834881</v>
      </c>
      <c r="E29" s="58">
        <f>SUMPRODUCT('Load Data'!BA14:BX14,'Cost to Serve'!C14:Z14)</f>
        <v>61.176679354123543</v>
      </c>
      <c r="G29">
        <v>720</v>
      </c>
    </row>
    <row r="30" spans="2:26" x14ac:dyDescent="0.35">
      <c r="B30" s="56">
        <v>10</v>
      </c>
      <c r="C30" s="58">
        <f>SUMPRODUCT('Load Data'!C15:Z15,'Cost to Serve'!C15:Z15)</f>
        <v>37.803751763587613</v>
      </c>
      <c r="D30" s="58">
        <f>SUMPRODUCT('Load Data'!AB15:AY15,'Cost to Serve'!C15:Z15)</f>
        <v>44.344547900922166</v>
      </c>
      <c r="E30" s="58">
        <f>SUMPRODUCT('Load Data'!BA15:BX15,'Cost to Serve'!C15:Z15)</f>
        <v>44.380606430347328</v>
      </c>
      <c r="G30">
        <v>744</v>
      </c>
    </row>
    <row r="31" spans="2:26" x14ac:dyDescent="0.35">
      <c r="B31" s="56">
        <v>11</v>
      </c>
      <c r="C31" s="58">
        <f>SUMPRODUCT('Load Data'!C16:Z16,'Cost to Serve'!C16:Z16)</f>
        <v>29.01010843136811</v>
      </c>
      <c r="D31" s="58">
        <f>SUMPRODUCT('Load Data'!AB16:AY16,'Cost to Serve'!C16:Z16)</f>
        <v>33.645313850885913</v>
      </c>
      <c r="E31" s="58">
        <f>SUMPRODUCT('Load Data'!BA16:BX16,'Cost to Serve'!C16:Z16)</f>
        <v>32.994175775170682</v>
      </c>
      <c r="G31">
        <v>720</v>
      </c>
    </row>
    <row r="32" spans="2:26" x14ac:dyDescent="0.35">
      <c r="B32" s="56">
        <v>12</v>
      </c>
      <c r="C32" s="58">
        <f>SUMPRODUCT('Load Data'!C17:Z17,'Cost to Serve'!C17:Z17)</f>
        <v>39.748669753616007</v>
      </c>
      <c r="D32" s="58">
        <f>SUMPRODUCT('Load Data'!AB17:AY17,'Cost to Serve'!C17:Z17)</f>
        <v>44.650958245955955</v>
      </c>
      <c r="E32" s="58">
        <f>SUMPRODUCT('Load Data'!BA17:BX17,'Cost to Serve'!C17:Z17)</f>
        <v>44.317725252996595</v>
      </c>
      <c r="G32">
        <v>744</v>
      </c>
    </row>
    <row r="33" spans="2:28" x14ac:dyDescent="0.35">
      <c r="B33" s="59"/>
    </row>
    <row r="34" spans="2:28" x14ac:dyDescent="0.35">
      <c r="B34" s="60" t="s">
        <v>485</v>
      </c>
      <c r="C34" s="61">
        <f>SUMPRODUCT(C21:C32,$G$21:$G$32)/SUM($G$21:$G$32)</f>
        <v>33.652442729418517</v>
      </c>
      <c r="D34" s="61">
        <f>SUMPRODUCT(D21:D32,$G$21:$G$32)/SUM($G$21:$G$32)</f>
        <v>39.689152127483872</v>
      </c>
      <c r="E34" s="61">
        <f>SUMPRODUCT(E21:E32,$G$21:$G$32)/SUM($G$21:$G$32)</f>
        <v>38.315198408517674</v>
      </c>
      <c r="G34">
        <f>AVERAGE(G21:G32)</f>
        <v>730</v>
      </c>
    </row>
    <row r="35" spans="2:28" x14ac:dyDescent="0.35">
      <c r="B35" s="62" t="s">
        <v>486</v>
      </c>
      <c r="C35" s="63">
        <f>C34/1000</f>
        <v>3.3652442729418516E-2</v>
      </c>
      <c r="D35" s="63">
        <f t="shared" ref="D35:E35" si="0">D34/1000</f>
        <v>3.9689152127483869E-2</v>
      </c>
      <c r="E35" s="63">
        <f t="shared" si="0"/>
        <v>3.8315198408517673E-2</v>
      </c>
    </row>
    <row r="39" spans="2:28" x14ac:dyDescent="0.35">
      <c r="B39" s="54" t="s">
        <v>487</v>
      </c>
      <c r="C39" s="21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 spans="2:28" x14ac:dyDescent="0.35">
      <c r="B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 spans="2:28" x14ac:dyDescent="0.35">
      <c r="B41" s="56" t="s">
        <v>166</v>
      </c>
      <c r="C41" s="57">
        <v>0</v>
      </c>
      <c r="D41" s="57">
        <v>1</v>
      </c>
      <c r="E41" s="57">
        <v>2</v>
      </c>
      <c r="F41" s="57">
        <v>3</v>
      </c>
      <c r="G41" s="57">
        <v>4</v>
      </c>
      <c r="H41" s="57">
        <v>5</v>
      </c>
      <c r="I41" s="57">
        <v>6</v>
      </c>
      <c r="J41" s="57">
        <v>7</v>
      </c>
      <c r="K41" s="57">
        <v>8</v>
      </c>
      <c r="L41" s="57">
        <v>9</v>
      </c>
      <c r="M41" s="57">
        <v>10</v>
      </c>
      <c r="N41" s="57">
        <v>11</v>
      </c>
      <c r="O41" s="57">
        <v>12</v>
      </c>
      <c r="P41" s="57">
        <v>13</v>
      </c>
      <c r="Q41" s="57">
        <v>14</v>
      </c>
      <c r="R41" s="57">
        <v>15</v>
      </c>
      <c r="S41" s="57">
        <v>16</v>
      </c>
      <c r="T41" s="57">
        <v>17</v>
      </c>
      <c r="U41" s="57">
        <v>18</v>
      </c>
      <c r="V41" s="57">
        <v>19</v>
      </c>
      <c r="W41" s="57">
        <v>20</v>
      </c>
      <c r="X41" s="57">
        <v>21</v>
      </c>
      <c r="Y41" s="57">
        <v>22</v>
      </c>
      <c r="Z41" s="57">
        <v>23</v>
      </c>
    </row>
    <row r="42" spans="2:28" x14ac:dyDescent="0.35">
      <c r="B42" s="56">
        <v>1</v>
      </c>
      <c r="C42" s="178">
        <v>3569.90185546875</v>
      </c>
      <c r="D42" s="178">
        <v>3489.588623046875</v>
      </c>
      <c r="E42" s="178">
        <v>3462.17724609375</v>
      </c>
      <c r="F42" s="178">
        <v>3484.326171875</v>
      </c>
      <c r="G42" s="178">
        <v>3592.107177734375</v>
      </c>
      <c r="H42" s="178">
        <v>3864.005615234375</v>
      </c>
      <c r="I42" s="178">
        <v>4317.98291015625</v>
      </c>
      <c r="J42" s="178">
        <v>4522.41357421875</v>
      </c>
      <c r="K42" s="178">
        <v>4545.9189453125</v>
      </c>
      <c r="L42" s="178">
        <v>4537.66796875</v>
      </c>
      <c r="M42" s="178">
        <v>4494.61083984375</v>
      </c>
      <c r="N42" s="178">
        <v>4417.02587890625</v>
      </c>
      <c r="O42" s="178">
        <v>4365.6005859375</v>
      </c>
      <c r="P42" s="178">
        <v>4336.6728515625</v>
      </c>
      <c r="Q42" s="178">
        <v>4302.93310546875</v>
      </c>
      <c r="R42" s="178">
        <v>4311.3046875</v>
      </c>
      <c r="S42" s="178">
        <v>4555.8916015625</v>
      </c>
      <c r="T42" s="178">
        <v>5129.5009765625</v>
      </c>
      <c r="U42" s="178">
        <v>5125.19775390625</v>
      </c>
      <c r="V42" s="178">
        <v>4986.34375</v>
      </c>
      <c r="W42" s="178">
        <v>4791.3828125</v>
      </c>
      <c r="X42" s="178">
        <v>4443.03515625</v>
      </c>
      <c r="Y42" s="178">
        <v>4050.53076171875</v>
      </c>
      <c r="Z42" s="178">
        <v>3756.8876953125</v>
      </c>
      <c r="AB42" s="91" t="s">
        <v>480</v>
      </c>
    </row>
    <row r="43" spans="2:28" x14ac:dyDescent="0.35">
      <c r="B43" s="56">
        <v>2</v>
      </c>
      <c r="C43" s="179">
        <v>3336.025146484375</v>
      </c>
      <c r="D43" s="179">
        <v>3295.3291015625</v>
      </c>
      <c r="E43" s="179">
        <v>3283.054931640625</v>
      </c>
      <c r="F43" s="179">
        <v>3311.363525390625</v>
      </c>
      <c r="G43" s="179">
        <v>3423.50927734375</v>
      </c>
      <c r="H43" s="179">
        <v>3743.451171875</v>
      </c>
      <c r="I43" s="179">
        <v>4238.9599609375</v>
      </c>
      <c r="J43" s="179">
        <v>4392.7294921875</v>
      </c>
      <c r="K43" s="179">
        <v>4406.580078125</v>
      </c>
      <c r="L43" s="179">
        <v>4391.861328125</v>
      </c>
      <c r="M43" s="179">
        <v>4355.3623046875</v>
      </c>
      <c r="N43" s="179">
        <v>4284.19384765625</v>
      </c>
      <c r="O43" s="179">
        <v>4211.96337890625</v>
      </c>
      <c r="P43" s="179">
        <v>4187.12646484375</v>
      </c>
      <c r="Q43" s="179">
        <v>4159.01904296875</v>
      </c>
      <c r="R43" s="179">
        <v>4133.48779296875</v>
      </c>
      <c r="S43" s="179">
        <v>4250.97802734375</v>
      </c>
      <c r="T43" s="179">
        <v>4752.75146484375</v>
      </c>
      <c r="U43" s="179">
        <v>5106.69580078125</v>
      </c>
      <c r="V43" s="179">
        <v>4926.64453125</v>
      </c>
      <c r="W43" s="179">
        <v>4684.6982421875</v>
      </c>
      <c r="X43" s="179">
        <v>4256.9541015625</v>
      </c>
      <c r="Y43" s="179">
        <v>3803.31591796875</v>
      </c>
      <c r="Z43" s="179">
        <v>3547.288818359375</v>
      </c>
    </row>
    <row r="44" spans="2:28" x14ac:dyDescent="0.35">
      <c r="B44" s="56">
        <v>3</v>
      </c>
      <c r="C44" s="179">
        <v>3552.010986328125</v>
      </c>
      <c r="D44" s="179">
        <v>3355.758544921875</v>
      </c>
      <c r="E44" s="179">
        <v>3311.487548828125</v>
      </c>
      <c r="F44" s="179">
        <v>3316.6611328125</v>
      </c>
      <c r="G44" s="179">
        <v>3455.380859375</v>
      </c>
      <c r="H44" s="179">
        <v>3795.6337890625</v>
      </c>
      <c r="I44" s="179">
        <v>4244.3330078125</v>
      </c>
      <c r="J44" s="179">
        <v>4400.77880859375</v>
      </c>
      <c r="K44" s="179">
        <v>4459.759765625</v>
      </c>
      <c r="L44" s="179">
        <v>4529.12744140625</v>
      </c>
      <c r="M44" s="179">
        <v>4560.78369140625</v>
      </c>
      <c r="N44" s="179">
        <v>4555.6416015625</v>
      </c>
      <c r="O44" s="179">
        <v>4525.87255859375</v>
      </c>
      <c r="P44" s="179">
        <v>4497.556640625</v>
      </c>
      <c r="Q44" s="179">
        <v>4425.4892578125</v>
      </c>
      <c r="R44" s="179">
        <v>4371.48486328125</v>
      </c>
      <c r="S44" s="179">
        <v>4356.9091796875</v>
      </c>
      <c r="T44" s="179">
        <v>4453.95751953125</v>
      </c>
      <c r="U44" s="179">
        <v>4794.21875</v>
      </c>
      <c r="V44" s="179">
        <v>4807.1708984375</v>
      </c>
      <c r="W44" s="179">
        <v>4824.1552734375</v>
      </c>
      <c r="X44" s="179">
        <v>4623.18115234375</v>
      </c>
      <c r="Y44" s="179">
        <v>4189.40380859375</v>
      </c>
      <c r="Z44" s="179">
        <v>3793.101806640625</v>
      </c>
    </row>
    <row r="45" spans="2:28" x14ac:dyDescent="0.35">
      <c r="B45" s="56">
        <v>4</v>
      </c>
      <c r="C45" s="179">
        <v>3477.0029296875</v>
      </c>
      <c r="D45" s="179">
        <v>3066.2626953125</v>
      </c>
      <c r="E45" s="179">
        <v>3026.0615234375</v>
      </c>
      <c r="F45" s="179">
        <v>3026.324462890625</v>
      </c>
      <c r="G45" s="179">
        <v>3090.611572265625</v>
      </c>
      <c r="H45" s="179">
        <v>3272.987548828125</v>
      </c>
      <c r="I45" s="179">
        <v>3629.9091796875</v>
      </c>
      <c r="J45" s="179">
        <v>3929.04541015625</v>
      </c>
      <c r="K45" s="179">
        <v>4078.291259765625</v>
      </c>
      <c r="L45" s="179">
        <v>4119.73828125</v>
      </c>
      <c r="M45" s="179">
        <v>4141.8564453125</v>
      </c>
      <c r="N45" s="179">
        <v>4166.19384765625</v>
      </c>
      <c r="O45" s="179">
        <v>4150.650390625</v>
      </c>
      <c r="P45" s="179">
        <v>4128.580078125</v>
      </c>
      <c r="Q45" s="179">
        <v>4096.82373046875</v>
      </c>
      <c r="R45" s="179">
        <v>4073.7109375</v>
      </c>
      <c r="S45" s="179">
        <v>4077.07958984375</v>
      </c>
      <c r="T45" s="179">
        <v>4119.27197265625</v>
      </c>
      <c r="U45" s="179">
        <v>4139.390625</v>
      </c>
      <c r="V45" s="179">
        <v>4238.05859375</v>
      </c>
      <c r="W45" s="179">
        <v>4379.72802734375</v>
      </c>
      <c r="X45" s="179">
        <v>4236.18896484375</v>
      </c>
      <c r="Y45" s="179">
        <v>3863.68212890625</v>
      </c>
      <c r="Z45" s="179">
        <v>3495.80810546875</v>
      </c>
    </row>
    <row r="46" spans="2:28" x14ac:dyDescent="0.35">
      <c r="B46" s="56">
        <v>5</v>
      </c>
      <c r="C46" s="179">
        <v>3218.602783203125</v>
      </c>
      <c r="D46" s="179">
        <v>2944.05419921875</v>
      </c>
      <c r="E46" s="179">
        <v>2846.6123046875</v>
      </c>
      <c r="F46" s="179">
        <v>2812.021728515625</v>
      </c>
      <c r="G46" s="179">
        <v>2849.95068359375</v>
      </c>
      <c r="H46" s="179">
        <v>2998.17041015625</v>
      </c>
      <c r="I46" s="179">
        <v>3327.710205078125</v>
      </c>
      <c r="J46" s="179">
        <v>3783.57275390625</v>
      </c>
      <c r="K46" s="179">
        <v>4141.67041015625</v>
      </c>
      <c r="L46" s="179">
        <v>4402.5078125</v>
      </c>
      <c r="M46" s="179">
        <v>4592.12841796875</v>
      </c>
      <c r="N46" s="179">
        <v>4727.24267578125</v>
      </c>
      <c r="O46" s="179">
        <v>4826.849609375</v>
      </c>
      <c r="P46" s="179">
        <v>4932.41162109375</v>
      </c>
      <c r="Q46" s="179">
        <v>5017.42431640625</v>
      </c>
      <c r="R46" s="179">
        <v>5062.7783203125</v>
      </c>
      <c r="S46" s="179">
        <v>5117.033203125</v>
      </c>
      <c r="T46" s="179">
        <v>5151.60791015625</v>
      </c>
      <c r="U46" s="179">
        <v>5072.6474609375</v>
      </c>
      <c r="V46" s="179">
        <v>4955.78369140625</v>
      </c>
      <c r="W46" s="179">
        <v>5050.5908203125</v>
      </c>
      <c r="X46" s="179">
        <v>4871.38427734375</v>
      </c>
      <c r="Y46" s="179">
        <v>4300.99462890625</v>
      </c>
      <c r="Z46" s="179">
        <v>3660.885986328125</v>
      </c>
    </row>
    <row r="47" spans="2:28" x14ac:dyDescent="0.35">
      <c r="B47" s="56">
        <v>6</v>
      </c>
      <c r="C47" s="179">
        <v>3798.271484375</v>
      </c>
      <c r="D47" s="179">
        <v>3431.629638671875</v>
      </c>
      <c r="E47" s="179">
        <v>3318.49560546875</v>
      </c>
      <c r="F47" s="179">
        <v>3258.86181640625</v>
      </c>
      <c r="G47" s="179">
        <v>3264.595703125</v>
      </c>
      <c r="H47" s="179">
        <v>3321.196533203125</v>
      </c>
      <c r="I47" s="179">
        <v>3496.51953125</v>
      </c>
      <c r="J47" s="179">
        <v>3799.0771484375</v>
      </c>
      <c r="K47" s="179">
        <v>4128.4609375</v>
      </c>
      <c r="L47" s="179">
        <v>4452.337890625</v>
      </c>
      <c r="M47" s="179">
        <v>4811.9267578125</v>
      </c>
      <c r="N47" s="179">
        <v>5174.8203125</v>
      </c>
      <c r="O47" s="179">
        <v>5504.6015625</v>
      </c>
      <c r="P47" s="179">
        <v>5785.38818359375</v>
      </c>
      <c r="Q47" s="179">
        <v>6035.84375</v>
      </c>
      <c r="R47" s="179">
        <v>6236.73291015625</v>
      </c>
      <c r="S47" s="179">
        <v>6359.6279296875</v>
      </c>
      <c r="T47" s="179">
        <v>6354.03515625</v>
      </c>
      <c r="U47" s="179">
        <v>6108.07080078125</v>
      </c>
      <c r="V47" s="179">
        <v>5782.6279296875</v>
      </c>
      <c r="W47" s="179">
        <v>5520.7666015625</v>
      </c>
      <c r="X47" s="179">
        <v>5261.1328125</v>
      </c>
      <c r="Y47" s="179">
        <v>4705.19482421875</v>
      </c>
      <c r="Z47" s="179">
        <v>4165.40625</v>
      </c>
    </row>
    <row r="48" spans="2:28" x14ac:dyDescent="0.35">
      <c r="B48" s="56">
        <v>7</v>
      </c>
      <c r="C48" s="179">
        <v>3897.330322265625</v>
      </c>
      <c r="D48" s="179">
        <v>3601.8828125</v>
      </c>
      <c r="E48" s="179">
        <v>3489.15283203125</v>
      </c>
      <c r="F48" s="179">
        <v>3432.73095703125</v>
      </c>
      <c r="G48" s="179">
        <v>3439.099609375</v>
      </c>
      <c r="H48" s="179">
        <v>3533.205078125</v>
      </c>
      <c r="I48" s="179">
        <v>3711.331787109375</v>
      </c>
      <c r="J48" s="179">
        <v>3954.49853515625</v>
      </c>
      <c r="K48" s="179">
        <v>4214.1083984375</v>
      </c>
      <c r="L48" s="179">
        <v>4519.4345703125</v>
      </c>
      <c r="M48" s="179">
        <v>4955.97119140625</v>
      </c>
      <c r="N48" s="179">
        <v>5417.46630859375</v>
      </c>
      <c r="O48" s="179">
        <v>5869.55908203125</v>
      </c>
      <c r="P48" s="179">
        <v>6295.248046875</v>
      </c>
      <c r="Q48" s="179">
        <v>6659.0107421875</v>
      </c>
      <c r="R48" s="179">
        <v>6931.046875</v>
      </c>
      <c r="S48" s="179">
        <v>7030.95263671875</v>
      </c>
      <c r="T48" s="179">
        <v>6941.248046875</v>
      </c>
      <c r="U48" s="179">
        <v>6574.4091796875</v>
      </c>
      <c r="V48" s="179">
        <v>6134.36865234375</v>
      </c>
      <c r="W48" s="179">
        <v>5767.69921875</v>
      </c>
      <c r="X48" s="179">
        <v>5439.3525390625</v>
      </c>
      <c r="Y48" s="179">
        <v>4858.91943359375</v>
      </c>
      <c r="Z48" s="179">
        <v>4277.380859375</v>
      </c>
    </row>
    <row r="49" spans="2:27" x14ac:dyDescent="0.35">
      <c r="B49" s="56">
        <v>8</v>
      </c>
      <c r="C49" s="179">
        <v>3918.54541015625</v>
      </c>
      <c r="D49" s="179">
        <v>3671.378173828125</v>
      </c>
      <c r="E49" s="179">
        <v>3564.97412109375</v>
      </c>
      <c r="F49" s="179">
        <v>3512.49609375</v>
      </c>
      <c r="G49" s="179">
        <v>3516.502685546875</v>
      </c>
      <c r="H49" s="179">
        <v>3607.6171875</v>
      </c>
      <c r="I49" s="179">
        <v>3790.42431640625</v>
      </c>
      <c r="J49" s="179">
        <v>4069.603271484375</v>
      </c>
      <c r="K49" s="179">
        <v>4345.041015625</v>
      </c>
      <c r="L49" s="179">
        <v>4678.03173828125</v>
      </c>
      <c r="M49" s="179">
        <v>5048.58984375</v>
      </c>
      <c r="N49" s="179">
        <v>5428.36669921875</v>
      </c>
      <c r="O49" s="179">
        <v>5781.7451171875</v>
      </c>
      <c r="P49" s="179">
        <v>6121.57763671875</v>
      </c>
      <c r="Q49" s="179">
        <v>6415.24462890625</v>
      </c>
      <c r="R49" s="179">
        <v>6611.06103515625</v>
      </c>
      <c r="S49" s="179">
        <v>6672.8701171875</v>
      </c>
      <c r="T49" s="179">
        <v>6579.49658203125</v>
      </c>
      <c r="U49" s="179">
        <v>6267.728515625</v>
      </c>
      <c r="V49" s="179">
        <v>5909.33203125</v>
      </c>
      <c r="W49" s="179">
        <v>5718.048828125</v>
      </c>
      <c r="X49" s="179">
        <v>5381.048828125</v>
      </c>
      <c r="Y49" s="179">
        <v>4746.26806640625</v>
      </c>
      <c r="Z49" s="179">
        <v>4267.8203125</v>
      </c>
    </row>
    <row r="50" spans="2:27" x14ac:dyDescent="0.35">
      <c r="B50" s="56">
        <v>9</v>
      </c>
      <c r="C50" s="179">
        <v>3884.4169921875</v>
      </c>
      <c r="D50" s="179">
        <v>3488.04833984375</v>
      </c>
      <c r="E50" s="179">
        <v>3413.1591796875</v>
      </c>
      <c r="F50" s="179">
        <v>3414.384521484375</v>
      </c>
      <c r="G50" s="179">
        <v>3498.105712890625</v>
      </c>
      <c r="H50" s="179">
        <v>3732.26611328125</v>
      </c>
      <c r="I50" s="179">
        <v>4259.9560546875</v>
      </c>
      <c r="J50" s="179">
        <v>4747.4150390625</v>
      </c>
      <c r="K50" s="179">
        <v>5022.40771484375</v>
      </c>
      <c r="L50" s="179">
        <v>5216.40576171875</v>
      </c>
      <c r="M50" s="179">
        <v>5396.84765625</v>
      </c>
      <c r="N50" s="179">
        <v>5488.3564453125</v>
      </c>
      <c r="O50" s="179">
        <v>5514.47900390625</v>
      </c>
      <c r="P50" s="179">
        <v>5555.94873046875</v>
      </c>
      <c r="Q50" s="179">
        <v>5697.5400390625</v>
      </c>
      <c r="R50" s="179">
        <v>5908.26904296875</v>
      </c>
      <c r="S50" s="179">
        <v>6068.4853515625</v>
      </c>
      <c r="T50" s="179">
        <v>6117.3525390625</v>
      </c>
      <c r="U50" s="179">
        <v>5916.10888671875</v>
      </c>
      <c r="V50" s="179">
        <v>6117.244140625</v>
      </c>
      <c r="W50" s="179">
        <v>6027.59228515625</v>
      </c>
      <c r="X50" s="179">
        <v>5511.642578125</v>
      </c>
      <c r="Y50" s="179">
        <v>4832.9384765625</v>
      </c>
      <c r="Z50" s="179">
        <v>4238.83251953125</v>
      </c>
    </row>
    <row r="51" spans="2:27" x14ac:dyDescent="0.35">
      <c r="B51" s="56">
        <v>10</v>
      </c>
      <c r="C51" s="179">
        <v>3750.651123046875</v>
      </c>
      <c r="D51" s="179">
        <v>3371.06640625</v>
      </c>
      <c r="E51" s="179">
        <v>3299.60595703125</v>
      </c>
      <c r="F51" s="179">
        <v>3273.66455078125</v>
      </c>
      <c r="G51" s="179">
        <v>3339.771728515625</v>
      </c>
      <c r="H51" s="179">
        <v>3563.898681640625</v>
      </c>
      <c r="I51" s="179">
        <v>3962.131591796875</v>
      </c>
      <c r="J51" s="179">
        <v>4318.07275390625</v>
      </c>
      <c r="K51" s="179">
        <v>4423.02587890625</v>
      </c>
      <c r="L51" s="179">
        <v>4428.6337890625</v>
      </c>
      <c r="M51" s="179">
        <v>4516.43505859375</v>
      </c>
      <c r="N51" s="179">
        <v>4567.68896484375</v>
      </c>
      <c r="O51" s="179">
        <v>4584.68310546875</v>
      </c>
      <c r="P51" s="179">
        <v>4604.28857421875</v>
      </c>
      <c r="Q51" s="179">
        <v>4620.9912109375</v>
      </c>
      <c r="R51" s="179">
        <v>4611.16748046875</v>
      </c>
      <c r="S51" s="179">
        <v>4622.0537109375</v>
      </c>
      <c r="T51" s="179">
        <v>4651.8154296875</v>
      </c>
      <c r="U51" s="179">
        <v>4670.0341796875</v>
      </c>
      <c r="V51" s="179">
        <v>4729.5478515625</v>
      </c>
      <c r="W51" s="179">
        <v>4660.98291015625</v>
      </c>
      <c r="X51" s="179">
        <v>4459.2958984375</v>
      </c>
      <c r="Y51" s="179">
        <v>4186.8515625</v>
      </c>
      <c r="Z51" s="179">
        <v>3889.212158203125</v>
      </c>
    </row>
    <row r="52" spans="2:27" x14ac:dyDescent="0.35">
      <c r="B52" s="56">
        <v>11</v>
      </c>
      <c r="C52" s="179">
        <v>3417.587158203125</v>
      </c>
      <c r="D52" s="179">
        <v>3345.248779296875</v>
      </c>
      <c r="E52" s="179">
        <v>3321.812744140625</v>
      </c>
      <c r="F52" s="179">
        <v>3348.094970703125</v>
      </c>
      <c r="G52" s="179">
        <v>3465.458984375</v>
      </c>
      <c r="H52" s="179">
        <v>3757.857177734375</v>
      </c>
      <c r="I52" s="179">
        <v>4201.7822265625</v>
      </c>
      <c r="J52" s="179">
        <v>4344.45361328125</v>
      </c>
      <c r="K52" s="179">
        <v>4366.318359375</v>
      </c>
      <c r="L52" s="179">
        <v>4339.77685546875</v>
      </c>
      <c r="M52" s="179">
        <v>4310.20166015625</v>
      </c>
      <c r="N52" s="179">
        <v>4269.185546875</v>
      </c>
      <c r="O52" s="179">
        <v>4223.3251953125</v>
      </c>
      <c r="P52" s="179">
        <v>4197.8095703125</v>
      </c>
      <c r="Q52" s="179">
        <v>4198.9189453125</v>
      </c>
      <c r="R52" s="179">
        <v>4247.90380859375</v>
      </c>
      <c r="S52" s="179">
        <v>4530.08984375</v>
      </c>
      <c r="T52" s="179">
        <v>5015.41796875</v>
      </c>
      <c r="U52" s="179">
        <v>4996.0888671875</v>
      </c>
      <c r="V52" s="179">
        <v>4847.3896484375</v>
      </c>
      <c r="W52" s="179">
        <v>4672.86865234375</v>
      </c>
      <c r="X52" s="179">
        <v>4389.32470703125</v>
      </c>
      <c r="Y52" s="179">
        <v>3996.6943359375</v>
      </c>
      <c r="Z52" s="179">
        <v>3664.931640625</v>
      </c>
    </row>
    <row r="53" spans="2:27" x14ac:dyDescent="0.35">
      <c r="B53" s="56">
        <v>12</v>
      </c>
      <c r="C53" s="179">
        <v>3679.384033203125</v>
      </c>
      <c r="D53" s="179">
        <v>3601.826171875</v>
      </c>
      <c r="E53" s="179">
        <v>3589.657958984375</v>
      </c>
      <c r="F53" s="179">
        <v>3628.023681640625</v>
      </c>
      <c r="G53" s="179">
        <v>3739.101806640625</v>
      </c>
      <c r="H53" s="179">
        <v>4020.218017578125</v>
      </c>
      <c r="I53" s="179">
        <v>4459.83251953125</v>
      </c>
      <c r="J53" s="179">
        <v>4657.173828125</v>
      </c>
      <c r="K53" s="179">
        <v>4707.4580078125</v>
      </c>
      <c r="L53" s="179">
        <v>4716.19482421875</v>
      </c>
      <c r="M53" s="179">
        <v>4686.439453125</v>
      </c>
      <c r="N53" s="179">
        <v>4610.5400390625</v>
      </c>
      <c r="O53" s="179">
        <v>4521.0400390625</v>
      </c>
      <c r="P53" s="179">
        <v>4461.99853515625</v>
      </c>
      <c r="Q53" s="179">
        <v>4430.2880859375</v>
      </c>
      <c r="R53" s="179">
        <v>4490.4482421875</v>
      </c>
      <c r="S53" s="179">
        <v>4848.3388671875</v>
      </c>
      <c r="T53" s="179">
        <v>5395.8662109375</v>
      </c>
      <c r="U53" s="179">
        <v>5412.16748046875</v>
      </c>
      <c r="V53" s="179">
        <v>5313.89208984375</v>
      </c>
      <c r="W53" s="179">
        <v>5157.8486328125</v>
      </c>
      <c r="X53" s="179">
        <v>4832.09423828125</v>
      </c>
      <c r="Y53" s="179">
        <v>4402.5595703125</v>
      </c>
      <c r="Z53" s="179">
        <v>4057.587890625</v>
      </c>
    </row>
    <row r="56" spans="2:27" x14ac:dyDescent="0.35">
      <c r="B56" s="2"/>
    </row>
    <row r="57" spans="2:27" x14ac:dyDescent="0.35">
      <c r="E57" s="2" t="s">
        <v>488</v>
      </c>
      <c r="I57" s="2" t="s">
        <v>489</v>
      </c>
      <c r="M57" s="2" t="s">
        <v>490</v>
      </c>
      <c r="Q57" s="2" t="s">
        <v>491</v>
      </c>
      <c r="U57" s="2" t="s">
        <v>492</v>
      </c>
      <c r="Y57" s="2" t="s">
        <v>493</v>
      </c>
    </row>
    <row r="58" spans="2:27" x14ac:dyDescent="0.35">
      <c r="B58" s="56" t="s">
        <v>166</v>
      </c>
      <c r="C58" s="2" t="s">
        <v>494</v>
      </c>
      <c r="E58" s="3" t="s">
        <v>85</v>
      </c>
      <c r="F58" s="3" t="s">
        <v>88</v>
      </c>
      <c r="G58" s="3" t="s">
        <v>87</v>
      </c>
      <c r="I58" s="3" t="s">
        <v>85</v>
      </c>
      <c r="J58" s="3" t="s">
        <v>88</v>
      </c>
      <c r="K58" s="3" t="s">
        <v>87</v>
      </c>
      <c r="M58" s="3" t="s">
        <v>85</v>
      </c>
      <c r="N58" s="3" t="s">
        <v>88</v>
      </c>
      <c r="O58" s="3" t="s">
        <v>87</v>
      </c>
      <c r="Q58" s="3" t="s">
        <v>85</v>
      </c>
      <c r="R58" s="3" t="s">
        <v>88</v>
      </c>
      <c r="S58" s="3" t="s">
        <v>87</v>
      </c>
      <c r="U58" s="3" t="s">
        <v>85</v>
      </c>
      <c r="V58" s="3" t="s">
        <v>88</v>
      </c>
      <c r="W58" s="3" t="s">
        <v>87</v>
      </c>
      <c r="Y58" s="3" t="s">
        <v>85</v>
      </c>
      <c r="Z58" s="3" t="s">
        <v>88</v>
      </c>
      <c r="AA58" s="3" t="s">
        <v>87</v>
      </c>
    </row>
    <row r="59" spans="2:27" x14ac:dyDescent="0.35">
      <c r="B59" s="56">
        <v>1</v>
      </c>
      <c r="C59" s="26">
        <f t="shared" ref="C59:C70" si="1">INDEX($C$41:$Z$41,MATCH(MAX(C42:Z42),C42:Z42,0))</f>
        <v>17</v>
      </c>
      <c r="E59" s="65">
        <f>SUMIFS('Load Data'!C6:Z6,'Load Data'!$C$5:$Z$5,$C59)</f>
        <v>4.0029551088423834E-2</v>
      </c>
      <c r="F59" s="65">
        <f>SUMIFS('Load Data'!AB6:AY6,'Load Data'!$AB$5:$AY$5,$C59)</f>
        <v>5.8423851255049078E-2</v>
      </c>
      <c r="G59" s="65">
        <f>SUMIFS('Load Data'!BA6:BX6,'Load Data'!$BA$5:$BX$5,$C59)</f>
        <v>3.1845928333764227E-2</v>
      </c>
      <c r="I59" s="65">
        <f>MAX('Load Data'!C6:Z6)</f>
        <v>8.7328044767899404E-2</v>
      </c>
      <c r="J59" s="65">
        <f>MAX('Load Data'!AB6:AY6)</f>
        <v>6.9722833791339728E-2</v>
      </c>
      <c r="K59" s="65">
        <f>MAX('Load Data'!BA6:BX6)</f>
        <v>0.10568969100726372</v>
      </c>
      <c r="M59" s="50">
        <f>E59/I59</f>
        <v>0.45838139620341245</v>
      </c>
      <c r="N59" s="50">
        <f t="shared" ref="N59:O70" si="2">F59/J59</f>
        <v>0.83794430143064413</v>
      </c>
      <c r="O59" s="50">
        <f t="shared" si="2"/>
        <v>0.30131536983654872</v>
      </c>
      <c r="Q59">
        <f>SUM('Load Data'!C6:Z6)*(G21/24)</f>
        <v>30.999999999999993</v>
      </c>
      <c r="R59">
        <f>SUM('Load Data'!AB6:AY6)*(G21/24)</f>
        <v>31</v>
      </c>
      <c r="S59">
        <f>SUM('Load Data'!BA6:BX6)*(G21/24)</f>
        <v>30.999999999999996</v>
      </c>
      <c r="U59" s="46">
        <f>Q59/(E59*$G21)</f>
        <v>1.0408976751856771</v>
      </c>
      <c r="V59" s="46">
        <f t="shared" ref="V59:W70" si="3">R59/(F59*$G21)</f>
        <v>0.71317904882324534</v>
      </c>
      <c r="W59" s="46">
        <f t="shared" si="3"/>
        <v>1.3083828560428596</v>
      </c>
      <c r="Y59" s="46">
        <f>Q59/(I59*Q59*24)</f>
        <v>0.47712812965649687</v>
      </c>
      <c r="Z59" s="46">
        <f t="shared" ref="Z59:AA70" si="4">R59/(J59*R59*24)</f>
        <v>0.59760431986116547</v>
      </c>
      <c r="AA59" s="46">
        <f t="shared" si="4"/>
        <v>0.3942358641563542</v>
      </c>
    </row>
    <row r="60" spans="2:27" x14ac:dyDescent="0.35">
      <c r="B60" s="56">
        <v>2</v>
      </c>
      <c r="C60" s="26">
        <f t="shared" si="1"/>
        <v>18</v>
      </c>
      <c r="E60" s="65">
        <f>SUMIFS('Load Data'!C7:Z7,'Load Data'!$C$5:$Z$5,$C60)</f>
        <v>4.2790398853416088E-2</v>
      </c>
      <c r="F60" s="65">
        <f>SUMIFS('Load Data'!AB7:AY7,'Load Data'!$AB$5:$AY$5,$C60)</f>
        <v>5.9459757092460964E-2</v>
      </c>
      <c r="G60" s="65">
        <f>SUMIFS('Load Data'!BA7:BX7,'Load Data'!$BA$5:$BX$5,$C60)</f>
        <v>3.0485013397645023E-2</v>
      </c>
      <c r="I60" s="65">
        <f>MAX('Load Data'!C7:Z7)</f>
        <v>8.7328044767899404E-2</v>
      </c>
      <c r="J60" s="65">
        <f>MAX('Load Data'!AB7:AY7)</f>
        <v>6.9722833791339728E-2</v>
      </c>
      <c r="K60" s="65">
        <f>MAX('Load Data'!BA7:BX7)</f>
        <v>0.10568969100726372</v>
      </c>
      <c r="M60" s="50">
        <f t="shared" ref="M60:M70" si="5">E60/I60</f>
        <v>0.4899960713324622</v>
      </c>
      <c r="N60" s="50">
        <f t="shared" si="2"/>
        <v>0.85280178471240597</v>
      </c>
      <c r="O60" s="50">
        <f t="shared" si="2"/>
        <v>0.28843885441532691</v>
      </c>
      <c r="Q60">
        <f>SUM('Load Data'!C7:Z7)*(G22/24)</f>
        <v>27.999999999999993</v>
      </c>
      <c r="R60">
        <f>SUM('Load Data'!AB7:AY7)*(G22/24)</f>
        <v>28</v>
      </c>
      <c r="S60">
        <f>SUM('Load Data'!BA7:BX7)*(G22/24)</f>
        <v>27.999999999999996</v>
      </c>
      <c r="U60" s="46">
        <f t="shared" ref="U60:U70" si="6">Q60/(E60*$G22)</f>
        <v>0.97373868398378527</v>
      </c>
      <c r="V60" s="46">
        <f t="shared" si="3"/>
        <v>0.70075406803082407</v>
      </c>
      <c r="W60" s="46">
        <f t="shared" si="3"/>
        <v>1.3667918108865067</v>
      </c>
      <c r="Y60" s="46">
        <f t="shared" ref="Y60:Y70" si="7">Q60/(I60*Q60*24)</f>
        <v>0.47712812965649687</v>
      </c>
      <c r="Z60" s="46">
        <f t="shared" si="4"/>
        <v>0.59760431986116547</v>
      </c>
      <c r="AA60" s="46">
        <f t="shared" si="4"/>
        <v>0.39423586415635414</v>
      </c>
    </row>
    <row r="61" spans="2:27" x14ac:dyDescent="0.35">
      <c r="B61" s="56">
        <v>3</v>
      </c>
      <c r="C61" s="26">
        <f t="shared" si="1"/>
        <v>20</v>
      </c>
      <c r="E61" s="65">
        <f>SUMIFS('Load Data'!C8:Z8,'Load Data'!$C$5:$Z$5,$C61)</f>
        <v>6.854611938713899E-2</v>
      </c>
      <c r="F61" s="65">
        <f>SUMIFS('Load Data'!AB8:AY8,'Load Data'!$AB$5:$AY$5,$C61)</f>
        <v>4.6824760303983248E-2</v>
      </c>
      <c r="G61" s="65">
        <f>SUMIFS('Load Data'!BA8:BX8,'Load Data'!$BA$5:$BX$5,$C61)</f>
        <v>2.1517739414059305E-2</v>
      </c>
      <c r="I61" s="65">
        <f>MAX('Load Data'!C8:Z8)</f>
        <v>8.7328044767899404E-2</v>
      </c>
      <c r="J61" s="65">
        <f>MAX('Load Data'!AB8:AY8)</f>
        <v>6.9722833791339728E-2</v>
      </c>
      <c r="K61" s="65">
        <f>MAX('Load Data'!BA8:BX8)</f>
        <v>0.10568969100726372</v>
      </c>
      <c r="M61" s="50">
        <f t="shared" si="5"/>
        <v>0.78492676172151754</v>
      </c>
      <c r="N61" s="50">
        <f t="shared" si="2"/>
        <v>0.67158429681897625</v>
      </c>
      <c r="O61" s="50">
        <f t="shared" si="2"/>
        <v>0.20359355022222989</v>
      </c>
      <c r="Q61">
        <f>SUM('Load Data'!C8:Z8)*(G23/24)</f>
        <v>30.999999999999993</v>
      </c>
      <c r="R61">
        <f>SUM('Load Data'!AB8:AY8)*(G23/24)</f>
        <v>31</v>
      </c>
      <c r="S61">
        <f>SUM('Load Data'!BA8:BX8)*(G23/24)</f>
        <v>30.999999999999996</v>
      </c>
      <c r="U61" s="46">
        <f t="shared" si="6"/>
        <v>0.6078632465149354</v>
      </c>
      <c r="V61" s="46">
        <f t="shared" si="3"/>
        <v>0.88984260455727748</v>
      </c>
      <c r="W61" s="46">
        <f t="shared" si="3"/>
        <v>1.936386804621419</v>
      </c>
      <c r="Y61" s="46">
        <f t="shared" si="7"/>
        <v>0.47712812965649687</v>
      </c>
      <c r="Z61" s="46">
        <f t="shared" si="4"/>
        <v>0.59760431986116547</v>
      </c>
      <c r="AA61" s="46">
        <f t="shared" si="4"/>
        <v>0.3942358641563542</v>
      </c>
    </row>
    <row r="62" spans="2:27" x14ac:dyDescent="0.35">
      <c r="B62" s="56">
        <v>4</v>
      </c>
      <c r="C62" s="26">
        <f t="shared" si="1"/>
        <v>20</v>
      </c>
      <c r="E62" s="65">
        <f>SUMIFS('Load Data'!C9:Z9,'Load Data'!$C$5:$Z$5,$C62)</f>
        <v>6.854611938713899E-2</v>
      </c>
      <c r="F62" s="65">
        <f>SUMIFS('Load Data'!AB9:AY9,'Load Data'!$AB$5:$AY$5,$C62)</f>
        <v>4.6824760303983248E-2</v>
      </c>
      <c r="G62" s="65">
        <f>SUMIFS('Load Data'!BA9:BX9,'Load Data'!$BA$5:$BX$5,$C62)</f>
        <v>2.1517739414059305E-2</v>
      </c>
      <c r="I62" s="65">
        <f>MAX('Load Data'!C9:Z9)</f>
        <v>8.7328044767899404E-2</v>
      </c>
      <c r="J62" s="65">
        <f>MAX('Load Data'!AB9:AY9)</f>
        <v>6.9722833791339728E-2</v>
      </c>
      <c r="K62" s="65">
        <f>MAX('Load Data'!BA9:BX9)</f>
        <v>0.10568969100726372</v>
      </c>
      <c r="M62" s="50">
        <f t="shared" si="5"/>
        <v>0.78492676172151754</v>
      </c>
      <c r="N62" s="50">
        <f t="shared" si="2"/>
        <v>0.67158429681897625</v>
      </c>
      <c r="O62" s="50">
        <f t="shared" si="2"/>
        <v>0.20359355022222989</v>
      </c>
      <c r="Q62">
        <f>SUM('Load Data'!C9:Z9)*(G24/24)</f>
        <v>29.999999999999993</v>
      </c>
      <c r="R62">
        <f>SUM('Load Data'!AB9:AY9)*(G24/24)</f>
        <v>30</v>
      </c>
      <c r="S62">
        <f>SUM('Load Data'!BA9:BX9)*(G24/24)</f>
        <v>29.999999999999996</v>
      </c>
      <c r="U62" s="46">
        <f t="shared" si="6"/>
        <v>0.6078632465149354</v>
      </c>
      <c r="V62" s="46">
        <f t="shared" si="3"/>
        <v>0.88984260455727748</v>
      </c>
      <c r="W62" s="46">
        <f t="shared" si="3"/>
        <v>1.936386804621419</v>
      </c>
      <c r="Y62" s="46">
        <f t="shared" si="7"/>
        <v>0.47712812965649681</v>
      </c>
      <c r="Z62" s="46">
        <f t="shared" si="4"/>
        <v>0.59760431986116558</v>
      </c>
      <c r="AA62" s="46">
        <f t="shared" si="4"/>
        <v>0.3942358641563542</v>
      </c>
    </row>
    <row r="63" spans="2:27" x14ac:dyDescent="0.35">
      <c r="B63" s="56">
        <v>5</v>
      </c>
      <c r="C63" s="26">
        <f t="shared" si="1"/>
        <v>17</v>
      </c>
      <c r="E63" s="65">
        <f>SUMIFS('Load Data'!C10:Z10,'Load Data'!$C$5:$Z$5,$C63)</f>
        <v>4.0029551088423834E-2</v>
      </c>
      <c r="F63" s="65">
        <f>SUMIFS('Load Data'!AB10:AY10,'Load Data'!$AB$5:$AY$5,$C63)</f>
        <v>5.8423851255049078E-2</v>
      </c>
      <c r="G63" s="65">
        <f>SUMIFS('Load Data'!BA10:BX10,'Load Data'!$BA$5:$BX$5,$C63)</f>
        <v>3.1845928333764227E-2</v>
      </c>
      <c r="I63" s="65">
        <f>MAX('Load Data'!C10:Z10)</f>
        <v>8.7328044767899404E-2</v>
      </c>
      <c r="J63" s="65">
        <f>MAX('Load Data'!AB10:AY10)</f>
        <v>6.9722833791339728E-2</v>
      </c>
      <c r="K63" s="65">
        <f>MAX('Load Data'!BA10:BX10)</f>
        <v>0.10568969100726372</v>
      </c>
      <c r="M63" s="50">
        <f t="shared" si="5"/>
        <v>0.45838139620341245</v>
      </c>
      <c r="N63" s="50">
        <f t="shared" si="2"/>
        <v>0.83794430143064413</v>
      </c>
      <c r="O63" s="50">
        <f t="shared" si="2"/>
        <v>0.30131536983654872</v>
      </c>
      <c r="Q63">
        <f>SUM('Load Data'!C10:Z10)*(G25/24)</f>
        <v>30.999999999999993</v>
      </c>
      <c r="R63">
        <f>SUM('Load Data'!AB10:AY10)*(G25/24)</f>
        <v>31</v>
      </c>
      <c r="S63">
        <f>SUM('Load Data'!BA10:BX10)*(G25/24)</f>
        <v>30.999999999999996</v>
      </c>
      <c r="U63" s="46">
        <f t="shared" si="6"/>
        <v>1.0408976751856771</v>
      </c>
      <c r="V63" s="46">
        <f t="shared" si="3"/>
        <v>0.71317904882324534</v>
      </c>
      <c r="W63" s="46">
        <f t="shared" si="3"/>
        <v>1.3083828560428596</v>
      </c>
      <c r="Y63" s="46">
        <f t="shared" si="7"/>
        <v>0.47712812965649687</v>
      </c>
      <c r="Z63" s="46">
        <f t="shared" si="4"/>
        <v>0.59760431986116547</v>
      </c>
      <c r="AA63" s="46">
        <f t="shared" si="4"/>
        <v>0.3942358641563542</v>
      </c>
    </row>
    <row r="64" spans="2:27" x14ac:dyDescent="0.35">
      <c r="B64" s="56">
        <v>6</v>
      </c>
      <c r="C64" s="26">
        <f t="shared" si="1"/>
        <v>16</v>
      </c>
      <c r="E64" s="65">
        <f>SUMIFS('Load Data'!C11:Z11,'Load Data'!$C$5:$Z$5,$C64)</f>
        <v>3.220850557924964E-2</v>
      </c>
      <c r="F64" s="65">
        <f>SUMIFS('Load Data'!AB11:AY11,'Load Data'!$AB$5:$AY$5,$C64)</f>
        <v>6.2943660791461783E-2</v>
      </c>
      <c r="G64" s="65">
        <f>SUMIFS('Load Data'!BA11:BX11,'Load Data'!$BA$5:$BX$5,$C64)</f>
        <v>3.7076083267582882E-2</v>
      </c>
      <c r="I64" s="65">
        <f>MAX('Load Data'!C11:Z11)</f>
        <v>8.7328044767899404E-2</v>
      </c>
      <c r="J64" s="65">
        <f>MAX('Load Data'!AB11:AY11)</f>
        <v>6.9722833791339728E-2</v>
      </c>
      <c r="K64" s="65">
        <f>MAX('Load Data'!BA11:BX11)</f>
        <v>0.10568969100726372</v>
      </c>
      <c r="M64" s="50">
        <f t="shared" si="5"/>
        <v>0.36882201662539738</v>
      </c>
      <c r="N64" s="50">
        <f t="shared" si="2"/>
        <v>0.90276968632448229</v>
      </c>
      <c r="O64" s="50">
        <f t="shared" si="2"/>
        <v>0.35080132143668352</v>
      </c>
      <c r="Q64">
        <f>SUM('Load Data'!C11:Z11)*(G26/24)</f>
        <v>29.999999999999993</v>
      </c>
      <c r="R64">
        <f>SUM('Load Data'!AB11:AY11)*(G26/24)</f>
        <v>30</v>
      </c>
      <c r="S64">
        <f>SUM('Load Data'!BA11:BX11)*(G26/24)</f>
        <v>29.999999999999996</v>
      </c>
      <c r="U64" s="46">
        <f t="shared" si="6"/>
        <v>1.293654142510432</v>
      </c>
      <c r="V64" s="46">
        <f t="shared" si="3"/>
        <v>0.66196764126433982</v>
      </c>
      <c r="W64" s="46">
        <f t="shared" si="3"/>
        <v>1.1238152197995928</v>
      </c>
      <c r="Y64" s="46">
        <f t="shared" si="7"/>
        <v>0.47712812965649681</v>
      </c>
      <c r="Z64" s="46">
        <f t="shared" si="4"/>
        <v>0.59760431986116558</v>
      </c>
      <c r="AA64" s="46">
        <f t="shared" si="4"/>
        <v>0.3942358641563542</v>
      </c>
    </row>
    <row r="65" spans="2:27" x14ac:dyDescent="0.35">
      <c r="B65" s="56">
        <v>7</v>
      </c>
      <c r="C65" s="26">
        <f t="shared" si="1"/>
        <v>16</v>
      </c>
      <c r="E65" s="65">
        <f>SUMIFS('Load Data'!C12:Z12,'Load Data'!$C$5:$Z$5,$C65)</f>
        <v>3.220850557924964E-2</v>
      </c>
      <c r="F65" s="65">
        <f>SUMIFS('Load Data'!AB12:AY12,'Load Data'!$AB$5:$AY$5,$C65)</f>
        <v>6.2943660791461783E-2</v>
      </c>
      <c r="G65" s="65">
        <f>SUMIFS('Load Data'!BA12:BX12,'Load Data'!$BA$5:$BX$5,$C65)</f>
        <v>3.7076083267582882E-2</v>
      </c>
      <c r="I65" s="65">
        <f>MAX('Load Data'!C12:Z12)</f>
        <v>8.7328044767899404E-2</v>
      </c>
      <c r="J65" s="65">
        <f>MAX('Load Data'!AB12:AY12)</f>
        <v>6.9722833791339728E-2</v>
      </c>
      <c r="K65" s="65">
        <f>MAX('Load Data'!BA12:BX12)</f>
        <v>0.10568969100726372</v>
      </c>
      <c r="M65" s="50">
        <f t="shared" si="5"/>
        <v>0.36882201662539738</v>
      </c>
      <c r="N65" s="50">
        <f t="shared" si="2"/>
        <v>0.90276968632448229</v>
      </c>
      <c r="O65" s="50">
        <f t="shared" si="2"/>
        <v>0.35080132143668352</v>
      </c>
      <c r="Q65">
        <f>SUM('Load Data'!C12:Z12)*(G27/24)</f>
        <v>30.999999999999993</v>
      </c>
      <c r="R65">
        <f>SUM('Load Data'!AB12:AY12)*(G27/24)</f>
        <v>31</v>
      </c>
      <c r="S65">
        <f>SUM('Load Data'!BA12:BX12)*(G27/24)</f>
        <v>30.999999999999996</v>
      </c>
      <c r="U65" s="46">
        <f t="shared" si="6"/>
        <v>1.293654142510432</v>
      </c>
      <c r="V65" s="46">
        <f t="shared" si="3"/>
        <v>0.66196764126433982</v>
      </c>
      <c r="W65" s="46">
        <f t="shared" si="3"/>
        <v>1.1238152197995928</v>
      </c>
      <c r="Y65" s="46">
        <f t="shared" si="7"/>
        <v>0.47712812965649687</v>
      </c>
      <c r="Z65" s="46">
        <f t="shared" si="4"/>
        <v>0.59760431986116547</v>
      </c>
      <c r="AA65" s="46">
        <f t="shared" si="4"/>
        <v>0.3942358641563542</v>
      </c>
    </row>
    <row r="66" spans="2:27" x14ac:dyDescent="0.35">
      <c r="B66" s="56">
        <v>8</v>
      </c>
      <c r="C66" s="26">
        <f t="shared" si="1"/>
        <v>16</v>
      </c>
      <c r="E66" s="65">
        <f>SUMIFS('Load Data'!C13:Z13,'Load Data'!$C$5:$Z$5,$C66)</f>
        <v>3.220850557924964E-2</v>
      </c>
      <c r="F66" s="65">
        <f>SUMIFS('Load Data'!AB13:AY13,'Load Data'!$AB$5:$AY$5,$C66)</f>
        <v>6.2943660791461783E-2</v>
      </c>
      <c r="G66" s="65">
        <f>SUMIFS('Load Data'!BA13:BX13,'Load Data'!$BA$5:$BX$5,$C66)</f>
        <v>3.7076083267582882E-2</v>
      </c>
      <c r="I66" s="65">
        <f>MAX('Load Data'!C13:Z13)</f>
        <v>8.7328044767899404E-2</v>
      </c>
      <c r="J66" s="65">
        <f>MAX('Load Data'!AB13:AY13)</f>
        <v>6.9722833791339728E-2</v>
      </c>
      <c r="K66" s="65">
        <f>MAX('Load Data'!BA13:BX13)</f>
        <v>0.10568969100726372</v>
      </c>
      <c r="M66" s="50">
        <f t="shared" si="5"/>
        <v>0.36882201662539738</v>
      </c>
      <c r="N66" s="50">
        <f t="shared" si="2"/>
        <v>0.90276968632448229</v>
      </c>
      <c r="O66" s="50">
        <f t="shared" si="2"/>
        <v>0.35080132143668352</v>
      </c>
      <c r="Q66">
        <f>SUM('Load Data'!C13:Z13)*(G28/24)</f>
        <v>30.999999999999993</v>
      </c>
      <c r="R66">
        <f>SUM('Load Data'!AB13:AY13)*(G28/24)</f>
        <v>31</v>
      </c>
      <c r="S66">
        <f>SUM('Load Data'!BA13:BX13)*(G28/24)</f>
        <v>30.999999999999996</v>
      </c>
      <c r="U66" s="46">
        <f t="shared" si="6"/>
        <v>1.293654142510432</v>
      </c>
      <c r="V66" s="46">
        <f t="shared" si="3"/>
        <v>0.66196764126433982</v>
      </c>
      <c r="W66" s="46">
        <f t="shared" si="3"/>
        <v>1.1238152197995928</v>
      </c>
      <c r="Y66" s="46">
        <f t="shared" si="7"/>
        <v>0.47712812965649687</v>
      </c>
      <c r="Z66" s="46">
        <f t="shared" si="4"/>
        <v>0.59760431986116547</v>
      </c>
      <c r="AA66" s="46">
        <f t="shared" si="4"/>
        <v>0.3942358641563542</v>
      </c>
    </row>
    <row r="67" spans="2:27" x14ac:dyDescent="0.35">
      <c r="B67" s="56">
        <v>9</v>
      </c>
      <c r="C67" s="26">
        <f t="shared" si="1"/>
        <v>17</v>
      </c>
      <c r="E67" s="65">
        <f>SUMIFS('Load Data'!C14:Z14,'Load Data'!$C$5:$Z$5,$C67)</f>
        <v>4.0029551088423834E-2</v>
      </c>
      <c r="F67" s="65">
        <f>SUMIFS('Load Data'!AB14:AY14,'Load Data'!$AB$5:$AY$5,$C67)</f>
        <v>5.8423851255049078E-2</v>
      </c>
      <c r="G67" s="65">
        <f>SUMIFS('Load Data'!BA14:BX14,'Load Data'!$BA$5:$BX$5,$C67)</f>
        <v>3.1845928333764227E-2</v>
      </c>
      <c r="I67" s="65">
        <f>MAX('Load Data'!C14:Z14)</f>
        <v>8.7328044767899404E-2</v>
      </c>
      <c r="J67" s="65">
        <f>MAX('Load Data'!AB14:AY14)</f>
        <v>6.9722833791339728E-2</v>
      </c>
      <c r="K67" s="65">
        <f>MAX('Load Data'!BA14:BX14)</f>
        <v>0.10568969100726372</v>
      </c>
      <c r="M67" s="50">
        <f t="shared" si="5"/>
        <v>0.45838139620341245</v>
      </c>
      <c r="N67" s="50">
        <f t="shared" si="2"/>
        <v>0.83794430143064413</v>
      </c>
      <c r="O67" s="50">
        <f t="shared" si="2"/>
        <v>0.30131536983654872</v>
      </c>
      <c r="Q67">
        <f>SUM('Load Data'!C14:Z14)*(G29/24)</f>
        <v>29.999999999999993</v>
      </c>
      <c r="R67">
        <f>SUM('Load Data'!AB14:AY14)*(G29/24)</f>
        <v>30</v>
      </c>
      <c r="S67">
        <f>SUM('Load Data'!BA14:BX14)*(G29/24)</f>
        <v>29.999999999999996</v>
      </c>
      <c r="U67" s="46">
        <f t="shared" si="6"/>
        <v>1.0408976751856769</v>
      </c>
      <c r="V67" s="46">
        <f t="shared" si="3"/>
        <v>0.71317904882324534</v>
      </c>
      <c r="W67" s="46">
        <f t="shared" si="3"/>
        <v>1.3083828560428596</v>
      </c>
      <c r="Y67" s="46">
        <f t="shared" si="7"/>
        <v>0.47712812965649681</v>
      </c>
      <c r="Z67" s="46">
        <f t="shared" si="4"/>
        <v>0.59760431986116558</v>
      </c>
      <c r="AA67" s="46">
        <f t="shared" si="4"/>
        <v>0.3942358641563542</v>
      </c>
    </row>
    <row r="68" spans="2:27" x14ac:dyDescent="0.35">
      <c r="B68" s="56">
        <v>10</v>
      </c>
      <c r="C68" s="26">
        <f t="shared" si="1"/>
        <v>19</v>
      </c>
      <c r="E68" s="65">
        <f>SUMIFS('Load Data'!C15:Z15,'Load Data'!$C$5:$Z$5,$C68)</f>
        <v>4.3969482029171496E-2</v>
      </c>
      <c r="F68" s="65">
        <f>SUMIFS('Load Data'!AB15:AY15,'Load Data'!$AB$5:$AY$5,$C68)</f>
        <v>5.5664370726784415E-2</v>
      </c>
      <c r="G68" s="65">
        <f>SUMIFS('Load Data'!BA15:BX15,'Load Data'!$BA$5:$BX$5,$C68)</f>
        <v>2.7289267527151013E-2</v>
      </c>
      <c r="I68" s="65">
        <f>MAX('Load Data'!C15:Z15)</f>
        <v>8.7328044767899404E-2</v>
      </c>
      <c r="J68" s="65">
        <f>MAX('Load Data'!AB15:AY15)</f>
        <v>6.9722833791339728E-2</v>
      </c>
      <c r="K68" s="65">
        <f>MAX('Load Data'!BA15:BX15)</f>
        <v>0.10568969100726372</v>
      </c>
      <c r="M68" s="50">
        <f t="shared" si="5"/>
        <v>0.50349784134104503</v>
      </c>
      <c r="N68" s="50">
        <f t="shared" si="2"/>
        <v>0.79836644180831451</v>
      </c>
      <c r="O68" s="50">
        <f t="shared" si="2"/>
        <v>0.25820179117824754</v>
      </c>
      <c r="Q68">
        <f>SUM('Load Data'!C15:Z15)*(G30/24)</f>
        <v>30.999999999999993</v>
      </c>
      <c r="R68">
        <f>SUM('Load Data'!AB15:AY15)*(G30/24)</f>
        <v>31</v>
      </c>
      <c r="S68">
        <f>SUM('Load Data'!BA15:BX15)*(G30/24)</f>
        <v>30.999999999999996</v>
      </c>
      <c r="U68" s="46">
        <f t="shared" si="6"/>
        <v>0.94762696178733619</v>
      </c>
      <c r="V68" s="46">
        <f t="shared" si="3"/>
        <v>0.74853386686391887</v>
      </c>
      <c r="W68" s="46">
        <f t="shared" si="3"/>
        <v>1.526851778825177</v>
      </c>
      <c r="Y68" s="46">
        <f t="shared" si="7"/>
        <v>0.47712812965649687</v>
      </c>
      <c r="Z68" s="46">
        <f t="shared" si="4"/>
        <v>0.59760431986116547</v>
      </c>
      <c r="AA68" s="46">
        <f t="shared" si="4"/>
        <v>0.3942358641563542</v>
      </c>
    </row>
    <row r="69" spans="2:27" x14ac:dyDescent="0.35">
      <c r="B69" s="56">
        <v>11</v>
      </c>
      <c r="C69" s="26">
        <f t="shared" si="1"/>
        <v>17</v>
      </c>
      <c r="E69" s="65">
        <f>SUMIFS('Load Data'!C16:Z16,'Load Data'!$C$5:$Z$5,$C69)</f>
        <v>4.0029551088423834E-2</v>
      </c>
      <c r="F69" s="65">
        <f>SUMIFS('Load Data'!AB16:AY16,'Load Data'!$AB$5:$AY$5,$C69)</f>
        <v>5.8423851255049078E-2</v>
      </c>
      <c r="G69" s="65">
        <f>SUMIFS('Load Data'!BA16:BX16,'Load Data'!$BA$5:$BX$5,$C69)</f>
        <v>3.1845928333764227E-2</v>
      </c>
      <c r="I69" s="65">
        <f>MAX('Load Data'!C16:Z16)</f>
        <v>8.7328044767899404E-2</v>
      </c>
      <c r="J69" s="65">
        <f>MAX('Load Data'!AB16:AY16)</f>
        <v>6.9722833791339728E-2</v>
      </c>
      <c r="K69" s="65">
        <f>MAX('Load Data'!BA16:BX16)</f>
        <v>0.10568969100726372</v>
      </c>
      <c r="M69" s="50">
        <f t="shared" si="5"/>
        <v>0.45838139620341245</v>
      </c>
      <c r="N69" s="50">
        <f t="shared" si="2"/>
        <v>0.83794430143064413</v>
      </c>
      <c r="O69" s="50">
        <f t="shared" si="2"/>
        <v>0.30131536983654872</v>
      </c>
      <c r="Q69">
        <f>SUM('Load Data'!C16:Z16)*(G31/24)</f>
        <v>29.999999999999993</v>
      </c>
      <c r="R69">
        <f>SUM('Load Data'!AB16:AY16)*(G31/24)</f>
        <v>30</v>
      </c>
      <c r="S69">
        <f>SUM('Load Data'!BA16:BX16)*(G31/24)</f>
        <v>29.999999999999996</v>
      </c>
      <c r="U69" s="46">
        <f t="shared" si="6"/>
        <v>1.0408976751856769</v>
      </c>
      <c r="V69" s="46">
        <f t="shared" si="3"/>
        <v>0.71317904882324534</v>
      </c>
      <c r="W69" s="46">
        <f t="shared" si="3"/>
        <v>1.3083828560428596</v>
      </c>
      <c r="Y69" s="46">
        <f t="shared" si="7"/>
        <v>0.47712812965649681</v>
      </c>
      <c r="Z69" s="46">
        <f t="shared" si="4"/>
        <v>0.59760431986116558</v>
      </c>
      <c r="AA69" s="46">
        <f t="shared" si="4"/>
        <v>0.3942358641563542</v>
      </c>
    </row>
    <row r="70" spans="2:27" x14ac:dyDescent="0.35">
      <c r="B70" s="56">
        <v>12</v>
      </c>
      <c r="C70" s="26">
        <f t="shared" si="1"/>
        <v>18</v>
      </c>
      <c r="E70" s="65">
        <f>SUMIFS('Load Data'!C17:Z17,'Load Data'!$C$5:$Z$5,$C70)</f>
        <v>4.2790398853416088E-2</v>
      </c>
      <c r="F70" s="65">
        <f>SUMIFS('Load Data'!AB17:AY17,'Load Data'!$AB$5:$AY$5,$C70)</f>
        <v>5.9459757092460964E-2</v>
      </c>
      <c r="G70" s="65">
        <f>SUMIFS('Load Data'!BA17:BX17,'Load Data'!$BA$5:$BX$5,$C70)</f>
        <v>3.0485013397645023E-2</v>
      </c>
      <c r="I70" s="65">
        <f>MAX('Load Data'!C17:Z17)</f>
        <v>8.7328044767899404E-2</v>
      </c>
      <c r="J70" s="65">
        <f>MAX('Load Data'!AB17:AY17)</f>
        <v>6.9722833791339728E-2</v>
      </c>
      <c r="K70" s="65">
        <f>MAX('Load Data'!BA17:BX17)</f>
        <v>0.10568969100726372</v>
      </c>
      <c r="M70" s="50">
        <f t="shared" si="5"/>
        <v>0.4899960713324622</v>
      </c>
      <c r="N70" s="50">
        <f t="shared" si="2"/>
        <v>0.85280178471240597</v>
      </c>
      <c r="O70" s="50">
        <f t="shared" si="2"/>
        <v>0.28843885441532691</v>
      </c>
      <c r="Q70">
        <f>SUM('Load Data'!C17:Z17)*(G32/24)</f>
        <v>30.999999999999993</v>
      </c>
      <c r="R70">
        <f>SUM('Load Data'!AB17:AY17)*(G32/24)</f>
        <v>31</v>
      </c>
      <c r="S70">
        <f>SUM('Load Data'!BA17:BX17)*(G32/24)</f>
        <v>30.999999999999996</v>
      </c>
      <c r="U70" s="46">
        <f t="shared" si="6"/>
        <v>0.97373868398378527</v>
      </c>
      <c r="V70" s="46">
        <f t="shared" si="3"/>
        <v>0.70075406803082407</v>
      </c>
      <c r="W70" s="46">
        <f t="shared" si="3"/>
        <v>1.3667918108865067</v>
      </c>
      <c r="Y70" s="46">
        <f t="shared" si="7"/>
        <v>0.47712812965649687</v>
      </c>
      <c r="Z70" s="46">
        <f t="shared" si="4"/>
        <v>0.59760431986116547</v>
      </c>
      <c r="AA70" s="46">
        <f t="shared" si="4"/>
        <v>0.3942358641563542</v>
      </c>
    </row>
    <row r="72" spans="2:27" x14ac:dyDescent="0.35">
      <c r="B72" s="56" t="s">
        <v>495</v>
      </c>
      <c r="E72" s="66">
        <f>AVERAGE(E64:E67)</f>
        <v>3.416376695654319E-2</v>
      </c>
      <c r="F72" s="66">
        <f t="shared" ref="F72:O72" si="8">AVERAGE(F64:F67)</f>
        <v>6.18137084073586E-2</v>
      </c>
      <c r="G72" s="66">
        <f t="shared" si="8"/>
        <v>3.576854453412822E-2</v>
      </c>
      <c r="I72" s="66">
        <f t="shared" si="8"/>
        <v>8.7328044767899404E-2</v>
      </c>
      <c r="J72" s="66">
        <f t="shared" si="8"/>
        <v>6.9722833791339728E-2</v>
      </c>
      <c r="K72" s="66">
        <f t="shared" si="8"/>
        <v>0.10568969100726372</v>
      </c>
      <c r="M72" s="50">
        <f t="shared" si="8"/>
        <v>0.39121186151990117</v>
      </c>
      <c r="N72" s="50">
        <f t="shared" si="8"/>
        <v>0.88656334010102278</v>
      </c>
      <c r="O72" s="50">
        <f t="shared" si="8"/>
        <v>0.33842983353664979</v>
      </c>
      <c r="Q72">
        <f t="shared" ref="Q72:S72" si="9">AVERAGE(Q64:Q67)</f>
        <v>30.499999999999993</v>
      </c>
      <c r="R72">
        <f t="shared" si="9"/>
        <v>30.5</v>
      </c>
      <c r="S72">
        <f t="shared" si="9"/>
        <v>30.499999999999996</v>
      </c>
      <c r="U72" s="46">
        <f>AVERAGE(U64:U67)</f>
        <v>1.2304650256792433</v>
      </c>
      <c r="V72" s="46">
        <f t="shared" ref="V72:W72" si="10">AVERAGE(V64:V67)</f>
        <v>0.67477049315406623</v>
      </c>
      <c r="W72" s="46">
        <f t="shared" si="10"/>
        <v>1.1699571288604096</v>
      </c>
      <c r="Y72" s="46">
        <f t="shared" ref="Y72:AA72" si="11">Q72/(I72*Q72*24)</f>
        <v>0.47712812965649687</v>
      </c>
      <c r="Z72" s="46">
        <f t="shared" si="11"/>
        <v>0.59760431986116547</v>
      </c>
      <c r="AA72" s="46">
        <f t="shared" si="11"/>
        <v>0.3942358641563542</v>
      </c>
    </row>
    <row r="73" spans="2:27" x14ac:dyDescent="0.35">
      <c r="M73" s="67"/>
      <c r="N73" s="67"/>
      <c r="O73" s="67"/>
    </row>
    <row r="90" spans="2:28" x14ac:dyDescent="0.35">
      <c r="B90" s="54" t="s">
        <v>496</v>
      </c>
      <c r="C90" s="21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2" spans="2:28" x14ac:dyDescent="0.35">
      <c r="B92" s="56" t="s">
        <v>166</v>
      </c>
      <c r="C92" s="57">
        <v>0</v>
      </c>
      <c r="D92" s="57">
        <v>1</v>
      </c>
      <c r="E92" s="57">
        <v>2</v>
      </c>
      <c r="F92" s="57">
        <v>3</v>
      </c>
      <c r="G92" s="57">
        <v>4</v>
      </c>
      <c r="H92" s="57">
        <v>5</v>
      </c>
      <c r="I92" s="57">
        <v>6</v>
      </c>
      <c r="J92" s="57">
        <v>7</v>
      </c>
      <c r="K92" s="57">
        <v>8</v>
      </c>
      <c r="L92" s="57">
        <v>9</v>
      </c>
      <c r="M92" s="57">
        <v>10</v>
      </c>
      <c r="N92" s="57">
        <v>11</v>
      </c>
      <c r="O92" s="57">
        <v>12</v>
      </c>
      <c r="P92" s="57">
        <v>13</v>
      </c>
      <c r="Q92" s="57">
        <v>14</v>
      </c>
      <c r="R92" s="57">
        <v>15</v>
      </c>
      <c r="S92" s="57">
        <v>16</v>
      </c>
      <c r="T92" s="57">
        <v>17</v>
      </c>
      <c r="U92" s="57">
        <v>18</v>
      </c>
      <c r="V92" s="57">
        <v>19</v>
      </c>
      <c r="W92" s="57">
        <v>20</v>
      </c>
      <c r="X92" s="57">
        <v>21</v>
      </c>
      <c r="Y92" s="57">
        <v>22</v>
      </c>
      <c r="Z92" s="57">
        <v>23</v>
      </c>
    </row>
    <row r="93" spans="2:28" x14ac:dyDescent="0.35">
      <c r="B93" s="56">
        <v>1</v>
      </c>
      <c r="C93" s="162">
        <v>11.444002483870968</v>
      </c>
      <c r="D93" s="162">
        <v>8.7973582161290338</v>
      </c>
      <c r="E93" s="162">
        <v>8.5395458387096763</v>
      </c>
      <c r="F93" s="162">
        <v>9.3923040000000011</v>
      </c>
      <c r="G93" s="162">
        <v>10.360370516129032</v>
      </c>
      <c r="H93" s="162">
        <v>15.016533774193547</v>
      </c>
      <c r="I93" s="162">
        <v>20.05108490322581</v>
      </c>
      <c r="J93" s="162">
        <v>24.911750419354835</v>
      </c>
      <c r="K93" s="162">
        <v>21.58688087096774</v>
      </c>
      <c r="L93" s="162">
        <v>18.93450512903226</v>
      </c>
      <c r="M93" s="162">
        <v>17.151622193548388</v>
      </c>
      <c r="N93" s="162">
        <v>16.575765903225808</v>
      </c>
      <c r="O93" s="162">
        <v>13.485711193548386</v>
      </c>
      <c r="P93" s="162">
        <v>12.198947709677423</v>
      </c>
      <c r="Q93" s="162">
        <v>12.962067741935483</v>
      </c>
      <c r="R93" s="162">
        <v>16.421486096774192</v>
      </c>
      <c r="S93" s="162">
        <v>24.424841467741935</v>
      </c>
      <c r="T93" s="162">
        <v>31.341192000000003</v>
      </c>
      <c r="U93" s="162">
        <v>29.605572903225802</v>
      </c>
      <c r="V93" s="162">
        <v>26.327489987096772</v>
      </c>
      <c r="W93" s="162">
        <v>22.619240161290325</v>
      </c>
      <c r="X93" s="162">
        <v>18.82292325806452</v>
      </c>
      <c r="Y93" s="162">
        <v>14.608579548387093</v>
      </c>
      <c r="Z93" s="162">
        <v>11.334778854838708</v>
      </c>
      <c r="AB93" s="91" t="s">
        <v>497</v>
      </c>
    </row>
    <row r="94" spans="2:28" x14ac:dyDescent="0.35">
      <c r="B94" s="56">
        <v>2</v>
      </c>
      <c r="C94" s="162">
        <v>10.332453007142858</v>
      </c>
      <c r="D94" s="162">
        <v>10.671593746428572</v>
      </c>
      <c r="E94" s="162">
        <v>8.9024222500000008</v>
      </c>
      <c r="F94" s="162">
        <v>11.138197928571429</v>
      </c>
      <c r="G94" s="162">
        <v>14.60890385714286</v>
      </c>
      <c r="H94" s="162">
        <v>19.829132178571427</v>
      </c>
      <c r="I94" s="162">
        <v>29.928253714285717</v>
      </c>
      <c r="J94" s="162">
        <v>29.81072967857143</v>
      </c>
      <c r="K94" s="162">
        <v>26.570920392857143</v>
      </c>
      <c r="L94" s="162">
        <v>24.298259214285714</v>
      </c>
      <c r="M94" s="162">
        <v>23.706716142857143</v>
      </c>
      <c r="N94" s="162">
        <v>20.650627392857142</v>
      </c>
      <c r="O94" s="162">
        <v>15.850009428571431</v>
      </c>
      <c r="P94" s="162">
        <v>14.079336678571432</v>
      </c>
      <c r="Q94" s="162">
        <v>13.19646292857143</v>
      </c>
      <c r="R94" s="162">
        <v>14.664869232142861</v>
      </c>
      <c r="S94" s="162">
        <v>29.892864642857148</v>
      </c>
      <c r="T94" s="162">
        <v>34.052893607142856</v>
      </c>
      <c r="U94" s="162">
        <v>34.732693499999996</v>
      </c>
      <c r="V94" s="162">
        <v>31.345063107142863</v>
      </c>
      <c r="W94" s="162">
        <v>27.985477142857142</v>
      </c>
      <c r="X94" s="162">
        <v>23.354493892857143</v>
      </c>
      <c r="Y94" s="162">
        <v>19.392875321428569</v>
      </c>
      <c r="Z94" s="162">
        <v>15.778072721428572</v>
      </c>
    </row>
    <row r="95" spans="2:28" x14ac:dyDescent="0.35">
      <c r="B95" s="56">
        <v>3</v>
      </c>
      <c r="C95" s="162">
        <v>6.5736326774193561</v>
      </c>
      <c r="D95" s="162">
        <v>7.9290980645161317</v>
      </c>
      <c r="E95" s="162">
        <v>4.1212853333333346</v>
      </c>
      <c r="F95" s="162">
        <v>7.3062930967741959</v>
      </c>
      <c r="G95" s="162">
        <v>11.073233645161292</v>
      </c>
      <c r="H95" s="162">
        <v>18.690240645161293</v>
      </c>
      <c r="I95" s="162">
        <v>28.033670645161287</v>
      </c>
      <c r="J95" s="162">
        <v>27.020951806451613</v>
      </c>
      <c r="K95" s="162">
        <v>24.253203419354836</v>
      </c>
      <c r="L95" s="162">
        <v>21.564389806451612</v>
      </c>
      <c r="M95" s="162">
        <v>19.329353561290326</v>
      </c>
      <c r="N95" s="162">
        <v>18.85569874193548</v>
      </c>
      <c r="O95" s="162">
        <v>17.121615225806451</v>
      </c>
      <c r="P95" s="162">
        <v>16.352148032258064</v>
      </c>
      <c r="Q95" s="162">
        <v>13.889467661290322</v>
      </c>
      <c r="R95" s="162">
        <v>15.210630961290326</v>
      </c>
      <c r="S95" s="162">
        <v>19.221921516129033</v>
      </c>
      <c r="T95" s="162">
        <v>39.136529516129038</v>
      </c>
      <c r="U95" s="162">
        <v>25.747767193548381</v>
      </c>
      <c r="V95" s="162">
        <v>21.320486516129034</v>
      </c>
      <c r="W95" s="162">
        <v>19.945407677419357</v>
      </c>
      <c r="X95" s="162">
        <v>18.069749387096774</v>
      </c>
      <c r="Y95" s="162">
        <v>15.141723838709677</v>
      </c>
      <c r="Z95" s="162">
        <v>8.7553574516129071</v>
      </c>
    </row>
    <row r="96" spans="2:28" x14ac:dyDescent="0.35">
      <c r="B96" s="56">
        <v>4</v>
      </c>
      <c r="C96" s="162">
        <v>4.0240284000000006</v>
      </c>
      <c r="D96" s="162">
        <v>2.6942563000000006</v>
      </c>
      <c r="E96" s="162">
        <v>-0.5625534000000002</v>
      </c>
      <c r="F96" s="162">
        <v>1.3215003899999997</v>
      </c>
      <c r="G96" s="162">
        <v>6.3398254166666677</v>
      </c>
      <c r="H96" s="162">
        <v>16.916982353333335</v>
      </c>
      <c r="I96" s="162">
        <v>22.24695486666667</v>
      </c>
      <c r="J96" s="162">
        <v>16.445477749999998</v>
      </c>
      <c r="K96" s="162">
        <v>15.5632074</v>
      </c>
      <c r="L96" s="162">
        <v>9.9592585633333321</v>
      </c>
      <c r="M96" s="162">
        <v>9.6264365666666656</v>
      </c>
      <c r="N96" s="162">
        <v>6.1992201333333332</v>
      </c>
      <c r="O96" s="162">
        <v>2.3783257300000002</v>
      </c>
      <c r="P96" s="162">
        <v>2.7829571999999994</v>
      </c>
      <c r="Q96" s="162">
        <v>6.6114154666666671</v>
      </c>
      <c r="R96" s="162">
        <v>6.870375300000001</v>
      </c>
      <c r="S96" s="162">
        <v>9.768491233333334</v>
      </c>
      <c r="T96" s="162">
        <v>13.968468366666666</v>
      </c>
      <c r="U96" s="162">
        <v>30.485589333333337</v>
      </c>
      <c r="V96" s="162">
        <v>27.021030633333332</v>
      </c>
      <c r="W96" s="162">
        <v>26.172448666666664</v>
      </c>
      <c r="X96" s="162">
        <v>20.456561199999999</v>
      </c>
      <c r="Y96" s="162">
        <v>12.489302233333335</v>
      </c>
      <c r="Z96" s="162">
        <v>8.0069859999999995</v>
      </c>
    </row>
    <row r="97" spans="2:26" x14ac:dyDescent="0.35">
      <c r="B97" s="56">
        <v>5</v>
      </c>
      <c r="C97" s="162">
        <v>22.467667161290326</v>
      </c>
      <c r="D97" s="162">
        <v>22.407233419354839</v>
      </c>
      <c r="E97" s="162">
        <v>21.673399709677415</v>
      </c>
      <c r="F97" s="162">
        <v>18.15601373225806</v>
      </c>
      <c r="G97" s="162">
        <v>20.929366870967741</v>
      </c>
      <c r="H97" s="162">
        <v>31.299331483870969</v>
      </c>
      <c r="I97" s="162">
        <v>36.875784032258068</v>
      </c>
      <c r="J97" s="162">
        <v>55.143243129032257</v>
      </c>
      <c r="K97" s="162">
        <v>30.924813290322586</v>
      </c>
      <c r="L97" s="162">
        <v>29.171693838709682</v>
      </c>
      <c r="M97" s="162">
        <v>28.155176258064518</v>
      </c>
      <c r="N97" s="162">
        <v>22.516399832258067</v>
      </c>
      <c r="O97" s="162">
        <v>23.018041096774191</v>
      </c>
      <c r="P97" s="162">
        <v>23.517218322580646</v>
      </c>
      <c r="Q97" s="162">
        <v>24.089574716129029</v>
      </c>
      <c r="R97" s="162">
        <v>29.596488787096774</v>
      </c>
      <c r="S97" s="162">
        <v>32.961083709677418</v>
      </c>
      <c r="T97" s="162">
        <v>38.224239548387096</v>
      </c>
      <c r="U97" s="162">
        <v>62.015095161290326</v>
      </c>
      <c r="V97" s="162">
        <v>71.749508580645156</v>
      </c>
      <c r="W97" s="162">
        <v>57.555790935483877</v>
      </c>
      <c r="X97" s="162">
        <v>49.873198935483884</v>
      </c>
      <c r="Y97" s="162">
        <v>41.742451451612915</v>
      </c>
      <c r="Z97" s="162">
        <v>30.238553709677419</v>
      </c>
    </row>
    <row r="98" spans="2:26" x14ac:dyDescent="0.35">
      <c r="B98" s="56">
        <v>6</v>
      </c>
      <c r="C98" s="162">
        <v>-3.8723401333333345</v>
      </c>
      <c r="D98" s="162">
        <v>-5.3438259666666692</v>
      </c>
      <c r="E98" s="162">
        <v>-10.38094599666667</v>
      </c>
      <c r="F98" s="162">
        <v>-10.970185730000003</v>
      </c>
      <c r="G98" s="162">
        <v>-8.4922786800000036</v>
      </c>
      <c r="H98" s="162">
        <v>-5.8085306333333362</v>
      </c>
      <c r="I98" s="162">
        <v>1.6099452999999959</v>
      </c>
      <c r="J98" s="162">
        <v>8.3056844333333295</v>
      </c>
      <c r="K98" s="162">
        <v>13.989781883333329</v>
      </c>
      <c r="L98" s="162">
        <v>16.065075906666664</v>
      </c>
      <c r="M98" s="162">
        <v>18.757117003333331</v>
      </c>
      <c r="N98" s="162">
        <v>26.785624766666672</v>
      </c>
      <c r="O98" s="162">
        <v>33.297716400000006</v>
      </c>
      <c r="P98" s="162">
        <v>38.940289666666679</v>
      </c>
      <c r="Q98" s="162">
        <v>40.577572966666679</v>
      </c>
      <c r="R98" s="162">
        <v>40.701303333333342</v>
      </c>
      <c r="S98" s="162">
        <v>46.469046749999997</v>
      </c>
      <c r="T98" s="162">
        <v>49.53818780000001</v>
      </c>
      <c r="U98" s="162">
        <v>49.598063300000007</v>
      </c>
      <c r="V98" s="162">
        <v>52.879757433333332</v>
      </c>
      <c r="W98" s="162">
        <v>34.612351599999997</v>
      </c>
      <c r="X98" s="162">
        <v>28.838922100000008</v>
      </c>
      <c r="Y98" s="162">
        <v>15.866216066666663</v>
      </c>
      <c r="Z98" s="162">
        <v>7.5054417066666685</v>
      </c>
    </row>
    <row r="99" spans="2:26" x14ac:dyDescent="0.35">
      <c r="B99" s="56">
        <v>7</v>
      </c>
      <c r="C99" s="162">
        <v>6.0553564193548377</v>
      </c>
      <c r="D99" s="162">
        <v>3.0727257741935476</v>
      </c>
      <c r="E99" s="162">
        <v>-4.3227196774193555</v>
      </c>
      <c r="F99" s="162">
        <v>-7.2752325806451639</v>
      </c>
      <c r="G99" s="162">
        <v>-4.546645764516132</v>
      </c>
      <c r="H99" s="162">
        <v>-0.61549206451613026</v>
      </c>
      <c r="I99" s="162">
        <v>8.3762321290322586</v>
      </c>
      <c r="J99" s="162">
        <v>14.247382048387099</v>
      </c>
      <c r="K99" s="162">
        <v>15.507113548387098</v>
      </c>
      <c r="L99" s="162">
        <v>20.132578645161296</v>
      </c>
      <c r="M99" s="162">
        <v>31.420631193548388</v>
      </c>
      <c r="N99" s="162">
        <v>38.914625677419366</v>
      </c>
      <c r="O99" s="162">
        <v>47.248407774193559</v>
      </c>
      <c r="P99" s="162">
        <v>59.082409064516121</v>
      </c>
      <c r="Q99" s="162">
        <v>68.452790096774194</v>
      </c>
      <c r="R99" s="162">
        <v>77.258479354838698</v>
      </c>
      <c r="S99" s="162">
        <v>76.175215000000009</v>
      </c>
      <c r="T99" s="162">
        <v>68.298020967741934</v>
      </c>
      <c r="U99" s="162">
        <v>58.553734096774193</v>
      </c>
      <c r="V99" s="162">
        <v>49.06631728387098</v>
      </c>
      <c r="W99" s="162">
        <v>39.069718903225805</v>
      </c>
      <c r="X99" s="162">
        <v>29.506364387096777</v>
      </c>
      <c r="Y99" s="162">
        <v>20.742747129032256</v>
      </c>
      <c r="Z99" s="162">
        <v>12.886708451612902</v>
      </c>
    </row>
    <row r="100" spans="2:26" x14ac:dyDescent="0.35">
      <c r="B100" s="56">
        <v>8</v>
      </c>
      <c r="C100" s="162">
        <v>20.44152203225806</v>
      </c>
      <c r="D100" s="162">
        <v>15.527761629032259</v>
      </c>
      <c r="E100" s="162">
        <v>13.055253932258063</v>
      </c>
      <c r="F100" s="162">
        <v>14.387734338709675</v>
      </c>
      <c r="G100" s="162">
        <v>21.709988387096779</v>
      </c>
      <c r="H100" s="162">
        <v>28.553365645161289</v>
      </c>
      <c r="I100" s="162">
        <v>33.927146774193538</v>
      </c>
      <c r="J100" s="162">
        <v>38.189212903225808</v>
      </c>
      <c r="K100" s="162">
        <v>38.686001161290321</v>
      </c>
      <c r="L100" s="162">
        <v>41.448392903225802</v>
      </c>
      <c r="M100" s="162">
        <v>42.403177290322581</v>
      </c>
      <c r="N100" s="162">
        <v>52.664340645161289</v>
      </c>
      <c r="O100" s="162">
        <v>64.761280935483867</v>
      </c>
      <c r="P100" s="162">
        <v>71.686733548387096</v>
      </c>
      <c r="Q100" s="162">
        <v>86.981352161290303</v>
      </c>
      <c r="R100" s="162">
        <v>105.88538777419353</v>
      </c>
      <c r="S100" s="162">
        <v>99.646606838709701</v>
      </c>
      <c r="T100" s="162">
        <v>94.049749096774192</v>
      </c>
      <c r="U100" s="162">
        <v>86.877106258064515</v>
      </c>
      <c r="V100" s="162">
        <v>74.435271903225811</v>
      </c>
      <c r="W100" s="162">
        <v>58.587167645161294</v>
      </c>
      <c r="X100" s="162">
        <v>54.083997612903232</v>
      </c>
      <c r="Y100" s="162">
        <v>44.321558790322591</v>
      </c>
      <c r="Z100" s="162">
        <v>30.067879870967747</v>
      </c>
    </row>
    <row r="101" spans="2:26" x14ac:dyDescent="0.35">
      <c r="B101" s="56">
        <v>9</v>
      </c>
      <c r="C101" s="162">
        <v>13.150189833333332</v>
      </c>
      <c r="D101" s="162">
        <v>14.237705633333331</v>
      </c>
      <c r="E101" s="162">
        <v>14.831207066666666</v>
      </c>
      <c r="F101" s="162">
        <v>13.826818533333331</v>
      </c>
      <c r="G101" s="162">
        <v>18.783367566666666</v>
      </c>
      <c r="H101" s="162">
        <v>26.897656366666663</v>
      </c>
      <c r="I101" s="162">
        <v>37.589531000000001</v>
      </c>
      <c r="J101" s="162">
        <v>48.205344233333335</v>
      </c>
      <c r="K101" s="162">
        <v>46.067154833333326</v>
      </c>
      <c r="L101" s="162">
        <v>50.269283683333327</v>
      </c>
      <c r="M101" s="162">
        <v>50.345764766666647</v>
      </c>
      <c r="N101" s="162">
        <v>53.099079433333337</v>
      </c>
      <c r="O101" s="162">
        <v>56.327593400000005</v>
      </c>
      <c r="P101" s="162">
        <v>65.354954599999999</v>
      </c>
      <c r="Q101" s="162">
        <v>72.886684799999983</v>
      </c>
      <c r="R101" s="162">
        <v>86.785708166666652</v>
      </c>
      <c r="S101" s="162">
        <v>96.246643366666689</v>
      </c>
      <c r="T101" s="162">
        <v>97.785170766666667</v>
      </c>
      <c r="U101" s="162">
        <v>77.457607966666643</v>
      </c>
      <c r="V101" s="162">
        <v>65.059476766666663</v>
      </c>
      <c r="W101" s="162">
        <v>51.389365133333328</v>
      </c>
      <c r="X101" s="162">
        <v>40.900167553333333</v>
      </c>
      <c r="Y101" s="162">
        <v>30.2506363</v>
      </c>
      <c r="Z101" s="162">
        <v>16.155367516666665</v>
      </c>
    </row>
    <row r="102" spans="2:26" x14ac:dyDescent="0.35">
      <c r="B102" s="56">
        <v>10</v>
      </c>
      <c r="C102" s="162">
        <v>12.754393322580643</v>
      </c>
      <c r="D102" s="162">
        <v>14.640379935483868</v>
      </c>
      <c r="E102" s="162">
        <v>11.745398212903224</v>
      </c>
      <c r="F102" s="162">
        <v>11.529812116129026</v>
      </c>
      <c r="G102" s="162">
        <v>16.065791419354838</v>
      </c>
      <c r="H102" s="162">
        <v>24.44793758064516</v>
      </c>
      <c r="I102" s="162">
        <v>31.23814038709677</v>
      </c>
      <c r="J102" s="162">
        <v>34.592108419354837</v>
      </c>
      <c r="K102" s="162">
        <v>28.906745129032267</v>
      </c>
      <c r="L102" s="162">
        <v>22.722886645161292</v>
      </c>
      <c r="M102" s="162">
        <v>24.318462677419355</v>
      </c>
      <c r="N102" s="162">
        <v>23.85385958064516</v>
      </c>
      <c r="O102" s="162">
        <v>26.703835225806451</v>
      </c>
      <c r="P102" s="162">
        <v>26.488443290322579</v>
      </c>
      <c r="Q102" s="162">
        <v>25.414128483870961</v>
      </c>
      <c r="R102" s="162">
        <v>25.625571212903228</v>
      </c>
      <c r="S102" s="162">
        <v>27.49648964516129</v>
      </c>
      <c r="T102" s="162">
        <v>40.29524967741937</v>
      </c>
      <c r="U102" s="162">
        <v>48.201243354838709</v>
      </c>
      <c r="V102" s="162">
        <v>39.246429161290308</v>
      </c>
      <c r="W102" s="162">
        <v>36.530407612903218</v>
      </c>
      <c r="X102" s="162">
        <v>30.324990470967737</v>
      </c>
      <c r="Y102" s="162">
        <v>21.077137377419355</v>
      </c>
      <c r="Z102" s="162">
        <v>18.299680225806448</v>
      </c>
    </row>
    <row r="103" spans="2:26" x14ac:dyDescent="0.35">
      <c r="B103" s="56">
        <v>11</v>
      </c>
      <c r="C103" s="162">
        <v>18.30098717666667</v>
      </c>
      <c r="D103" s="162">
        <v>12.801353256666667</v>
      </c>
      <c r="E103" s="162">
        <v>12.676937680000002</v>
      </c>
      <c r="F103" s="162">
        <v>15.522302799999999</v>
      </c>
      <c r="G103" s="162">
        <v>20.561530666666666</v>
      </c>
      <c r="H103" s="162">
        <v>32.460577833333325</v>
      </c>
      <c r="I103" s="162">
        <v>39.479108733333334</v>
      </c>
      <c r="J103" s="162">
        <v>42.766699066666675</v>
      </c>
      <c r="K103" s="162">
        <v>38.447225210000006</v>
      </c>
      <c r="L103" s="162">
        <v>29.49168993333333</v>
      </c>
      <c r="M103" s="162">
        <v>25.869014626666669</v>
      </c>
      <c r="N103" s="162">
        <v>22.475517159999999</v>
      </c>
      <c r="O103" s="162">
        <v>23.117653726666667</v>
      </c>
      <c r="P103" s="162">
        <v>28.100223600000003</v>
      </c>
      <c r="Q103" s="162">
        <v>28.297942266666666</v>
      </c>
      <c r="R103" s="162">
        <v>41.739292833333337</v>
      </c>
      <c r="S103" s="162">
        <v>63.095403800000007</v>
      </c>
      <c r="T103" s="162">
        <v>68.210748113333338</v>
      </c>
      <c r="U103" s="162">
        <v>64.482671613333338</v>
      </c>
      <c r="V103" s="162">
        <v>53.833344933333336</v>
      </c>
      <c r="W103" s="162">
        <v>51.244802123333329</v>
      </c>
      <c r="X103" s="162">
        <v>40.478530333333332</v>
      </c>
      <c r="Y103" s="162">
        <v>23.998206966666661</v>
      </c>
      <c r="Z103" s="162">
        <v>16.774055466666667</v>
      </c>
    </row>
    <row r="104" spans="2:26" x14ac:dyDescent="0.35">
      <c r="B104" s="56">
        <v>12</v>
      </c>
      <c r="C104" s="162">
        <v>12.17025722580645</v>
      </c>
      <c r="D104" s="162">
        <v>10.987927667741936</v>
      </c>
      <c r="E104" s="162">
        <v>12.183771661290324</v>
      </c>
      <c r="F104" s="162">
        <v>19.29231812903226</v>
      </c>
      <c r="G104" s="162">
        <v>32.049438700000003</v>
      </c>
      <c r="H104" s="162">
        <v>36.298868483870969</v>
      </c>
      <c r="I104" s="162">
        <v>46.632583419354845</v>
      </c>
      <c r="J104" s="162">
        <v>47.848081000000001</v>
      </c>
      <c r="K104" s="162">
        <v>41.579807258064513</v>
      </c>
      <c r="L104" s="162">
        <v>30.300638419354836</v>
      </c>
      <c r="M104" s="162">
        <v>22.545048741935481</v>
      </c>
      <c r="N104" s="162">
        <v>19.428378096774193</v>
      </c>
      <c r="O104" s="162">
        <v>18.090687467741937</v>
      </c>
      <c r="P104" s="162">
        <v>14.942945161290323</v>
      </c>
      <c r="Q104" s="162">
        <v>15.452180080645165</v>
      </c>
      <c r="R104" s="162">
        <v>20.315523129032258</v>
      </c>
      <c r="S104" s="162">
        <v>33.239466</v>
      </c>
      <c r="T104" s="162">
        <v>45.112734451612901</v>
      </c>
      <c r="U104" s="162">
        <v>41.553138322580644</v>
      </c>
      <c r="V104" s="162">
        <v>34.70107948387097</v>
      </c>
      <c r="W104" s="162">
        <v>51.5171718064516</v>
      </c>
      <c r="X104" s="162">
        <v>29.265901999999997</v>
      </c>
      <c r="Y104" s="162">
        <v>22.208833729032261</v>
      </c>
      <c r="Z104" s="162">
        <v>15.729814516129032</v>
      </c>
    </row>
    <row r="106" spans="2:26" x14ac:dyDescent="0.35">
      <c r="C106" s="2" t="s">
        <v>483</v>
      </c>
    </row>
    <row r="107" spans="2:26" x14ac:dyDescent="0.35">
      <c r="B107" s="56" t="s">
        <v>166</v>
      </c>
      <c r="C107" s="3" t="s">
        <v>85</v>
      </c>
      <c r="D107" s="3" t="s">
        <v>88</v>
      </c>
      <c r="E107" s="3" t="s">
        <v>87</v>
      </c>
      <c r="G107" s="2" t="s">
        <v>484</v>
      </c>
    </row>
    <row r="108" spans="2:26" x14ac:dyDescent="0.35">
      <c r="B108" s="56">
        <v>1</v>
      </c>
      <c r="C108" s="58">
        <f>SUMPRODUCT('Load Data'!C6:Z6,'Cost to Serve'!C93:Z93)</f>
        <v>16.946364253773375</v>
      </c>
      <c r="D108" s="58">
        <f>SUMPRODUCT('Load Data'!AB6:AY6,'Cost to Serve'!C93:Z93)</f>
        <v>18.91601991284271</v>
      </c>
      <c r="E108" s="58">
        <f>SUMPRODUCT('Load Data'!BA6:BX6,'Cost to Serve'!C93:Z93)</f>
        <v>18.635106793364663</v>
      </c>
      <c r="G108">
        <v>744</v>
      </c>
    </row>
    <row r="109" spans="2:26" x14ac:dyDescent="0.35">
      <c r="B109" s="56">
        <v>2</v>
      </c>
      <c r="C109" s="58">
        <f>SUMPRODUCT('Load Data'!C7:Z7,'Cost to Serve'!C94:Z94)</f>
        <v>20.564664862853583</v>
      </c>
      <c r="D109" s="58">
        <f>SUMPRODUCT('Load Data'!AB7:AY7,'Cost to Serve'!C94:Z94)</f>
        <v>22.517646111172468</v>
      </c>
      <c r="E109" s="58">
        <f>SUMPRODUCT('Load Data'!BA7:BX7,'Cost to Serve'!C94:Z94)</f>
        <v>22.775893031047953</v>
      </c>
      <c r="G109">
        <v>672</v>
      </c>
    </row>
    <row r="110" spans="2:26" x14ac:dyDescent="0.35">
      <c r="B110" s="56">
        <v>3</v>
      </c>
      <c r="C110" s="58">
        <f>SUMPRODUCT('Load Data'!C8:Z8,'Cost to Serve'!C95:Z95)</f>
        <v>16.392339128763727</v>
      </c>
      <c r="D110" s="58">
        <f>SUMPRODUCT('Load Data'!AB8:AY8,'Cost to Serve'!C95:Z95)</f>
        <v>19.480832232911794</v>
      </c>
      <c r="E110" s="58">
        <f>SUMPRODUCT('Load Data'!BA8:BX8,'Cost to Serve'!C95:Z95)</f>
        <v>20.257201913966039</v>
      </c>
      <c r="G110">
        <v>744</v>
      </c>
    </row>
    <row r="111" spans="2:26" x14ac:dyDescent="0.35">
      <c r="B111" s="56">
        <v>4</v>
      </c>
      <c r="C111" s="58">
        <f>SUMPRODUCT('Load Data'!C9:Z9,'Cost to Serve'!C96:Z96)</f>
        <v>12.384413815619643</v>
      </c>
      <c r="D111" s="58">
        <f>SUMPRODUCT('Load Data'!AB9:AY9,'Cost to Serve'!C96:Z96)</f>
        <v>12.128447973514149</v>
      </c>
      <c r="E111" s="58">
        <f>SUMPRODUCT('Load Data'!BA9:BX9,'Cost to Serve'!C96:Z96)</f>
        <v>11.46426623651652</v>
      </c>
      <c r="G111">
        <v>720</v>
      </c>
    </row>
    <row r="112" spans="2:26" x14ac:dyDescent="0.35">
      <c r="B112" s="56">
        <v>5</v>
      </c>
      <c r="C112" s="58">
        <f>SUMPRODUCT('Load Data'!C10:Z10,'Cost to Serve'!C97:Z97)</f>
        <v>36.506593146348607</v>
      </c>
      <c r="D112" s="58">
        <f>SUMPRODUCT('Load Data'!AB10:AY10,'Cost to Serve'!C97:Z97)</f>
        <v>35.695631060782773</v>
      </c>
      <c r="E112" s="58">
        <f>SUMPRODUCT('Load Data'!BA10:BX10,'Cost to Serve'!C97:Z97)</f>
        <v>33.352000633254356</v>
      </c>
      <c r="G112">
        <v>744</v>
      </c>
    </row>
    <row r="113" spans="2:7" x14ac:dyDescent="0.35">
      <c r="B113" s="56">
        <v>6</v>
      </c>
      <c r="C113" s="58">
        <f>SUMPRODUCT('Load Data'!C11:Z11,'Cost to Serve'!C98:Z98)</f>
        <v>17.904633539654849</v>
      </c>
      <c r="D113" s="58">
        <f>SUMPRODUCT('Load Data'!AB11:AY11,'Cost to Serve'!C98:Z98)</f>
        <v>29.79406822520054</v>
      </c>
      <c r="E113" s="58">
        <f>SUMPRODUCT('Load Data'!BA11:BX11,'Cost to Serve'!C98:Z98)</f>
        <v>23.537399278172991</v>
      </c>
      <c r="G113">
        <v>720</v>
      </c>
    </row>
    <row r="114" spans="2:7" x14ac:dyDescent="0.35">
      <c r="B114" s="56">
        <v>7</v>
      </c>
      <c r="C114" s="58">
        <f>SUMPRODUCT('Load Data'!C12:Z12,'Cost to Serve'!C99:Z99)</f>
        <v>26.18423119030804</v>
      </c>
      <c r="D114" s="58">
        <f>SUMPRODUCT('Load Data'!AB12:AY12,'Cost to Serve'!C99:Z99)</f>
        <v>42.958405586886443</v>
      </c>
      <c r="E114" s="58">
        <f>SUMPRODUCT('Load Data'!BA12:BX12,'Cost to Serve'!C99:Z99)</f>
        <v>34.878523708226894</v>
      </c>
      <c r="G114">
        <v>744</v>
      </c>
    </row>
    <row r="115" spans="2:7" x14ac:dyDescent="0.35">
      <c r="B115" s="56">
        <v>8</v>
      </c>
      <c r="C115" s="58">
        <f>SUMPRODUCT('Load Data'!C13:Z13,'Cost to Serve'!C100:Z100)</f>
        <v>47.250134283086268</v>
      </c>
      <c r="D115" s="58">
        <f>SUMPRODUCT('Load Data'!AB13:AY13,'Cost to Serve'!C100:Z100)</f>
        <v>63.644986739887941</v>
      </c>
      <c r="E115" s="58">
        <f>SUMPRODUCT('Load Data'!BA13:BX13,'Cost to Serve'!C100:Z100)</f>
        <v>55.027499326825165</v>
      </c>
      <c r="G115">
        <v>744</v>
      </c>
    </row>
    <row r="116" spans="2:7" x14ac:dyDescent="0.35">
      <c r="B116" s="56">
        <v>9</v>
      </c>
      <c r="C116" s="58">
        <f>SUMPRODUCT('Load Data'!C14:Z14,'Cost to Serve'!C101:Z101)</f>
        <v>41.690554536552746</v>
      </c>
      <c r="D116" s="58">
        <f>SUMPRODUCT('Load Data'!AB14:AY14,'Cost to Serve'!C101:Z101)</f>
        <v>59.2225348950778</v>
      </c>
      <c r="E116" s="58">
        <f>SUMPRODUCT('Load Data'!BA14:BX14,'Cost to Serve'!C101:Z101)</f>
        <v>54.59687629478087</v>
      </c>
      <c r="G116">
        <v>720</v>
      </c>
    </row>
    <row r="117" spans="2:7" x14ac:dyDescent="0.35">
      <c r="B117" s="56">
        <v>10</v>
      </c>
      <c r="C117" s="58">
        <f>SUMPRODUCT('Load Data'!C15:Z15,'Cost to Serve'!C102:Z102)</f>
        <v>25.23628430897265</v>
      </c>
      <c r="D117" s="58">
        <f>SUMPRODUCT('Load Data'!AB15:AY15,'Cost to Serve'!C102:Z102)</f>
        <v>28.558825232614154</v>
      </c>
      <c r="E117" s="58">
        <f>SUMPRODUCT('Load Data'!BA15:BX15,'Cost to Serve'!C102:Z102)</f>
        <v>27.511651935771184</v>
      </c>
      <c r="G117">
        <v>744</v>
      </c>
    </row>
    <row r="118" spans="2:7" x14ac:dyDescent="0.35">
      <c r="B118" s="56">
        <v>11</v>
      </c>
      <c r="C118" s="58">
        <f>SUMPRODUCT('Load Data'!C16:Z16,'Cost to Serve'!C103:Z103)</f>
        <v>33.064547496474184</v>
      </c>
      <c r="D118" s="58">
        <f>SUMPRODUCT('Load Data'!AB16:AY16,'Cost to Serve'!C103:Z103)</f>
        <v>37.923733530081115</v>
      </c>
      <c r="E118" s="58">
        <f>SUMPRODUCT('Load Data'!BA16:BX16,'Cost to Serve'!C103:Z103)</f>
        <v>34.849406611024634</v>
      </c>
      <c r="G118">
        <v>720</v>
      </c>
    </row>
    <row r="119" spans="2:7" x14ac:dyDescent="0.35">
      <c r="B119" s="56">
        <v>12</v>
      </c>
      <c r="C119" s="58">
        <f>SUMPRODUCT('Load Data'!C17:Z17,'Cost to Serve'!C104:Z104)</f>
        <v>27.438856791159871</v>
      </c>
      <c r="D119" s="58">
        <f>SUMPRODUCT('Load Data'!AB17:AY17,'Cost to Serve'!C104:Z104)</f>
        <v>28.280052319704065</v>
      </c>
      <c r="E119" s="58">
        <f>SUMPRODUCT('Load Data'!BA17:BX17,'Cost to Serve'!C104:Z104)</f>
        <v>29.543260073516574</v>
      </c>
      <c r="G119">
        <v>744</v>
      </c>
    </row>
    <row r="120" spans="2:7" x14ac:dyDescent="0.35">
      <c r="B120" s="59"/>
    </row>
    <row r="121" spans="2:7" x14ac:dyDescent="0.35">
      <c r="B121" s="60" t="s">
        <v>485</v>
      </c>
      <c r="C121" s="61">
        <f>SUMPRODUCT(C108:C119,$G$108:$G$119)/SUM($G$108:$G$119)</f>
        <v>26.854065736941727</v>
      </c>
      <c r="D121" s="61">
        <f t="shared" ref="D121:E121" si="12">SUMPRODUCT(D108:D119,$G$108:$G$119)/SUM($G$108:$G$119)</f>
        <v>33.331876645160456</v>
      </c>
      <c r="E121" s="61">
        <f t="shared" si="12"/>
        <v>30.59322200936127</v>
      </c>
      <c r="G121">
        <f>AVERAGE(G108:G119)</f>
        <v>730</v>
      </c>
    </row>
    <row r="122" spans="2:7" x14ac:dyDescent="0.35">
      <c r="B122" s="62" t="s">
        <v>486</v>
      </c>
      <c r="C122" s="63">
        <f>C121/1000</f>
        <v>2.6854065736941726E-2</v>
      </c>
      <c r="D122" s="63">
        <f t="shared" ref="D122:E122" si="13">D121/1000</f>
        <v>3.3331876645160456E-2</v>
      </c>
      <c r="E122" s="63">
        <f t="shared" si="13"/>
        <v>3.0593222009361268E-2</v>
      </c>
    </row>
  </sheetData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912E4-7C7B-42D6-BFBF-966628F0832D}">
  <dimension ref="A3:D27"/>
  <sheetViews>
    <sheetView workbookViewId="0">
      <selection activeCell="B24" sqref="B24"/>
    </sheetView>
  </sheetViews>
  <sheetFormatPr defaultRowHeight="14.5" x14ac:dyDescent="0.35"/>
  <cols>
    <col min="2" max="2" width="16.54296875" customWidth="1"/>
    <col min="3" max="3" width="59.26953125" bestFit="1" customWidth="1"/>
    <col min="4" max="4" width="66.26953125" customWidth="1"/>
  </cols>
  <sheetData>
    <row r="3" spans="1:4" x14ac:dyDescent="0.35">
      <c r="A3" s="344" t="s">
        <v>498</v>
      </c>
      <c r="B3" s="344" t="s">
        <v>499</v>
      </c>
      <c r="C3" s="344" t="s">
        <v>500</v>
      </c>
      <c r="D3" s="2" t="s">
        <v>501</v>
      </c>
    </row>
    <row r="4" spans="1:4" ht="43.5" x14ac:dyDescent="0.35">
      <c r="A4" s="553" t="s">
        <v>78</v>
      </c>
      <c r="B4" s="343">
        <v>24.2</v>
      </c>
      <c r="C4" s="316" t="s">
        <v>502</v>
      </c>
      <c r="D4" s="299" t="s">
        <v>503</v>
      </c>
    </row>
    <row r="5" spans="1:4" x14ac:dyDescent="0.35">
      <c r="A5" s="553"/>
      <c r="B5" s="343">
        <v>12933.17</v>
      </c>
      <c r="C5" s="316" t="s">
        <v>504</v>
      </c>
      <c r="D5" t="s">
        <v>505</v>
      </c>
    </row>
    <row r="6" spans="1:4" x14ac:dyDescent="0.35">
      <c r="A6" s="553"/>
      <c r="B6" s="343">
        <f>'EV Forecast'!N11</f>
        <v>3801.8922750851671</v>
      </c>
      <c r="C6" s="316" t="s">
        <v>506</v>
      </c>
      <c r="D6" t="s">
        <v>507</v>
      </c>
    </row>
    <row r="7" spans="1:4" x14ac:dyDescent="0.35">
      <c r="A7" s="553"/>
      <c r="B7" s="343">
        <f>B5/B6</f>
        <v>3.4017718189320032</v>
      </c>
      <c r="C7" s="316" t="s">
        <v>508</v>
      </c>
      <c r="D7" t="s">
        <v>507</v>
      </c>
    </row>
    <row r="8" spans="1:4" x14ac:dyDescent="0.35">
      <c r="A8" s="553"/>
      <c r="B8" s="343">
        <f>'Cost to Serve'!U72</f>
        <v>1.2304650256792433</v>
      </c>
      <c r="C8" s="316" t="s">
        <v>509</v>
      </c>
      <c r="D8" t="s">
        <v>510</v>
      </c>
    </row>
    <row r="9" spans="1:4" x14ac:dyDescent="0.35">
      <c r="A9" s="553"/>
      <c r="B9" s="345">
        <v>3.3260000000000001</v>
      </c>
      <c r="C9" s="316" t="s">
        <v>511</v>
      </c>
      <c r="D9" t="s">
        <v>512</v>
      </c>
    </row>
    <row r="10" spans="1:4" x14ac:dyDescent="0.35">
      <c r="A10" s="553"/>
      <c r="B10" s="346">
        <v>0.15060000000000001</v>
      </c>
      <c r="C10" s="316" t="s">
        <v>513</v>
      </c>
      <c r="D10" t="s">
        <v>514</v>
      </c>
    </row>
    <row r="11" spans="1:4" x14ac:dyDescent="0.35">
      <c r="A11" s="553"/>
      <c r="B11" s="346">
        <v>9.1899999999999996E-2</v>
      </c>
      <c r="C11" s="316" t="s">
        <v>515</v>
      </c>
      <c r="D11" t="s">
        <v>514</v>
      </c>
    </row>
    <row r="12" spans="1:4" x14ac:dyDescent="0.35">
      <c r="A12" s="553"/>
      <c r="B12" s="347">
        <f>('Rate Revenues'!G18*'Cost to Serve'!C35+'Rate Revenues'!G19*'Cost to Serve'!E35+'Rate Revenues'!G20*'Cost to Serve'!D35)*'Participant Assump'!B5</f>
        <v>452.4489666812168</v>
      </c>
      <c r="C12" s="316" t="s">
        <v>516</v>
      </c>
      <c r="D12" t="s">
        <v>517</v>
      </c>
    </row>
    <row r="13" spans="1:4" x14ac:dyDescent="0.35">
      <c r="A13" s="553"/>
      <c r="B13" s="347">
        <v>17000</v>
      </c>
      <c r="C13" s="348" t="s">
        <v>518</v>
      </c>
      <c r="D13" t="s">
        <v>519</v>
      </c>
    </row>
    <row r="14" spans="1:4" x14ac:dyDescent="0.35">
      <c r="A14" s="554" t="s">
        <v>520</v>
      </c>
      <c r="B14" s="316">
        <v>6</v>
      </c>
      <c r="C14" s="316" t="s">
        <v>521</v>
      </c>
      <c r="D14" t="s">
        <v>519</v>
      </c>
    </row>
    <row r="15" spans="1:4" x14ac:dyDescent="0.35">
      <c r="A15" s="554"/>
      <c r="B15" s="316">
        <v>15000</v>
      </c>
      <c r="C15" s="316" t="s">
        <v>504</v>
      </c>
      <c r="D15" t="s">
        <v>519</v>
      </c>
    </row>
    <row r="16" spans="1:4" x14ac:dyDescent="0.35">
      <c r="A16" s="554"/>
      <c r="B16" s="316">
        <f>B15/B18</f>
        <v>7500</v>
      </c>
      <c r="C16" s="316" t="s">
        <v>506</v>
      </c>
      <c r="D16" t="s">
        <v>519</v>
      </c>
    </row>
    <row r="17" spans="1:4" x14ac:dyDescent="0.35">
      <c r="A17" s="554"/>
      <c r="B17" s="343">
        <f>'Cost to Serve'!U72</f>
        <v>1.2304650256792433</v>
      </c>
      <c r="C17" s="316" t="s">
        <v>509</v>
      </c>
      <c r="D17" t="s">
        <v>510</v>
      </c>
    </row>
    <row r="18" spans="1:4" x14ac:dyDescent="0.35">
      <c r="A18" s="554"/>
      <c r="B18" s="316">
        <v>2</v>
      </c>
      <c r="C18" s="316" t="s">
        <v>508</v>
      </c>
      <c r="D18" t="s">
        <v>519</v>
      </c>
    </row>
    <row r="19" spans="1:4" x14ac:dyDescent="0.35">
      <c r="A19" s="554"/>
      <c r="B19" s="316">
        <v>4.21</v>
      </c>
      <c r="C19" s="316" t="s">
        <v>522</v>
      </c>
      <c r="D19" t="s">
        <v>519</v>
      </c>
    </row>
    <row r="20" spans="1:4" x14ac:dyDescent="0.35">
      <c r="A20" s="554"/>
      <c r="B20" s="316">
        <v>0.95</v>
      </c>
      <c r="C20" s="316" t="s">
        <v>523</v>
      </c>
      <c r="D20" t="s">
        <v>519</v>
      </c>
    </row>
    <row r="21" spans="1:4" x14ac:dyDescent="0.35">
      <c r="A21" s="554"/>
      <c r="B21" s="316">
        <v>0.56100000000000005</v>
      </c>
      <c r="C21" s="316" t="s">
        <v>515</v>
      </c>
      <c r="D21" t="s">
        <v>519</v>
      </c>
    </row>
    <row r="22" spans="1:4" x14ac:dyDescent="0.35">
      <c r="A22" s="554"/>
      <c r="B22" s="347">
        <v>250000</v>
      </c>
      <c r="C22" s="316" t="s">
        <v>524</v>
      </c>
    </row>
    <row r="27" spans="1:4" x14ac:dyDescent="0.35">
      <c r="B27">
        <f>1/3.4</f>
        <v>0.29411764705882354</v>
      </c>
    </row>
  </sheetData>
  <mergeCells count="2">
    <mergeCell ref="A4:A13"/>
    <mergeCell ref="A14:A2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51cac9-4e8e-4d9e-bd5d-5e3cd1f13c5c">
      <Terms xmlns="http://schemas.microsoft.com/office/infopath/2007/PartnerControls"/>
    </lcf76f155ced4ddcb4097134ff3c332f>
    <TaxCatchAll xmlns="e13444af-7d20-44ec-89c3-a57062f314f0" xsi:nil="true"/>
    <_ip_UnifiedCompliancePolicyUIAction xmlns="http://schemas.microsoft.com/sharepoint/v3" xsi:nil="true"/>
    <_ip_UnifiedCompliancePolicyProperties xmlns="http://schemas.microsoft.com/sharepoint/v3" xsi:nil="true"/>
    <Channel xmlns="1b51cac9-4e8e-4d9e-bd5d-5e3cd1f13c5c" xsi:nil="true"/>
    <Notes xmlns="1b51cac9-4e8e-4d9e-bd5d-5e3cd1f13c5c" xsi:nil="true"/>
    <BusinessArea xmlns="1b51cac9-4e8e-4d9e-bd5d-5e3cd1f13c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6D5857F31642408D69289EFE38AA54" ma:contentTypeVersion="23" ma:contentTypeDescription="Create a new document." ma:contentTypeScope="" ma:versionID="80aeb80044f0769b137782034301f573">
  <xsd:schema xmlns:xsd="http://www.w3.org/2001/XMLSchema" xmlns:xs="http://www.w3.org/2001/XMLSchema" xmlns:p="http://schemas.microsoft.com/office/2006/metadata/properties" xmlns:ns1="http://schemas.microsoft.com/sharepoint/v3" xmlns:ns2="1b51cac9-4e8e-4d9e-bd5d-5e3cd1f13c5c" xmlns:ns3="e13444af-7d20-44ec-89c3-a57062f314f0" targetNamespace="http://schemas.microsoft.com/office/2006/metadata/properties" ma:root="true" ma:fieldsID="cc95d34b5750cdd8312aee337b7e92be" ns1:_="" ns2:_="" ns3:_="">
    <xsd:import namespace="http://schemas.microsoft.com/sharepoint/v3"/>
    <xsd:import namespace="1b51cac9-4e8e-4d9e-bd5d-5e3cd1f13c5c"/>
    <xsd:import namespace="e13444af-7d20-44ec-89c3-a57062f314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Notes" minOccurs="0"/>
                <xsd:element ref="ns2:MediaLengthInSeconds" minOccurs="0"/>
                <xsd:element ref="ns2:Channel" minOccurs="0"/>
                <xsd:element ref="ns2:BusinessArea" minOccurs="0"/>
                <xsd:element ref="ns2:lcf76f155ced4ddcb4097134ff3c332f" minOccurs="0"/>
                <xsd:element ref="ns3:TaxCatchAll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51cac9-4e8e-4d9e-bd5d-5e3cd1f13c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Notes" ma:index="20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Channel" ma:index="22" nillable="true" ma:displayName="Channel" ma:format="Dropdown" ma:internalName="Channel">
      <xsd:simpleType>
        <xsd:union memberTypes="dms:Text">
          <xsd:simpleType>
            <xsd:restriction base="dms:Choice">
              <xsd:enumeration value="Bird Cam"/>
              <xsd:enumeration value="Blog"/>
              <xsd:enumeration value="SharePoint"/>
              <xsd:enumeration value="Town Halls"/>
              <xsd:enumeration value="XETV"/>
              <xsd:enumeration value="XpressNET"/>
              <xsd:enumeration value="Email"/>
              <xsd:enumeration value="Bob Frenzel"/>
            </xsd:restriction>
          </xsd:simpleType>
        </xsd:union>
      </xsd:simpleType>
    </xsd:element>
    <xsd:element name="BusinessArea" ma:index="23" nillable="true" ma:displayName="BusinessArea" ma:description="Where relevant, add business area or department applicable for this file" ma:format="Dropdown" ma:internalName="BusinessArea">
      <xsd:simpleType>
        <xsd:restriction base="dms:Text">
          <xsd:maxLength value="255"/>
        </xsd:restriction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479e3fc3-975b-426c-9e08-d2a3e1f4e7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444af-7d20-44ec-89c3-a57062f314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a0e1d60d-2bf0-499d-8abc-46b179c5da01}" ma:internalName="TaxCatchAll" ma:showField="CatchAllData" ma:web="e13444af-7d20-44ec-89c3-a57062f314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4B9E3B-E483-4D71-99DA-7F8671EFEF2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62F6DAA-66CC-4F11-9322-DDD9729DE993}">
  <ds:schemaRefs>
    <ds:schemaRef ds:uri="http://schemas.microsoft.com/office/2006/metadata/properties"/>
    <ds:schemaRef ds:uri="http://schemas.microsoft.com/office/infopath/2007/PartnerControls"/>
    <ds:schemaRef ds:uri="c9bddcb3-1def-4bff-89e9-abcbd6b74796"/>
    <ds:schemaRef ds:uri="b8f001c2-51e3-4af3-948b-aa331f6a6732"/>
  </ds:schemaRefs>
</ds:datastoreItem>
</file>

<file path=customXml/itemProps3.xml><?xml version="1.0" encoding="utf-8"?>
<ds:datastoreItem xmlns:ds="http://schemas.openxmlformats.org/officeDocument/2006/customXml" ds:itemID="{020A6ED6-0071-40CA-88D3-EAE244695F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Retail Rate Impact</vt:lpstr>
      <vt:lpstr>Net Revenues</vt:lpstr>
      <vt:lpstr>Rate Revenues</vt:lpstr>
      <vt:lpstr>Rates</vt:lpstr>
      <vt:lpstr>EV Forecast</vt:lpstr>
      <vt:lpstr>Load Data</vt:lpstr>
      <vt:lpstr>Avoided emissions</vt:lpstr>
      <vt:lpstr>Externality values</vt:lpstr>
      <vt:lpstr>Societal benefit</vt:lpstr>
      <vt:lpstr>Participant Bens</vt:lpstr>
      <vt:lpstr>MN TEP CBA (2024)</vt:lpstr>
      <vt:lpstr>MN TEP CBA (2025)</vt:lpstr>
      <vt:lpstr>MN TEP CBA (2026)</vt:lpstr>
      <vt:lpstr>MN TEP CBA (2027)</vt:lpstr>
      <vt:lpstr>Gas &amp; Diesel</vt:lpstr>
      <vt:lpstr>Electric</vt:lpstr>
      <vt:lpstr>TEP Filing Inputs</vt:lpstr>
      <vt:lpstr>Cost to Serve</vt:lpstr>
      <vt:lpstr>Participant Assump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Klingeman, Derek S</dc:creator>
  <cp:keywords/>
  <dc:description/>
  <cp:lastModifiedBy>Billings, Becky </cp:lastModifiedBy>
  <cp:revision/>
  <cp:lastPrinted>2023-10-31T15:58:16Z</cp:lastPrinted>
  <dcterms:created xsi:type="dcterms:W3CDTF">2023-05-08T13:21:52Z</dcterms:created>
  <dcterms:modified xsi:type="dcterms:W3CDTF">2023-10-31T16:31:15Z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1ac0a8-6b99-444d-a60f-7336bfe397d8_Enabled">
    <vt:lpwstr>true</vt:lpwstr>
  </property>
  <property fmtid="{D5CDD505-2E9C-101B-9397-08002B2CF9AE}" pid="3" name="MSIP_Label_611ac0a8-6b99-444d-a60f-7336bfe397d8_SetDate">
    <vt:lpwstr>2023-05-08T13:21:53Z</vt:lpwstr>
  </property>
  <property fmtid="{D5CDD505-2E9C-101B-9397-08002B2CF9AE}" pid="4" name="MSIP_Label_611ac0a8-6b99-444d-a60f-7336bfe397d8_Method">
    <vt:lpwstr>Standard</vt:lpwstr>
  </property>
  <property fmtid="{D5CDD505-2E9C-101B-9397-08002B2CF9AE}" pid="5" name="MSIP_Label_611ac0a8-6b99-444d-a60f-7336bfe397d8_Name">
    <vt:lpwstr>II - Internal Information</vt:lpwstr>
  </property>
  <property fmtid="{D5CDD505-2E9C-101B-9397-08002B2CF9AE}" pid="6" name="MSIP_Label_611ac0a8-6b99-444d-a60f-7336bfe397d8_SiteId">
    <vt:lpwstr>24b2a583-5c05-4b6a-b4e9-4e12dc0025ad</vt:lpwstr>
  </property>
  <property fmtid="{D5CDD505-2E9C-101B-9397-08002B2CF9AE}" pid="7" name="MSIP_Label_611ac0a8-6b99-444d-a60f-7336bfe397d8_ActionId">
    <vt:lpwstr>1980ecc6-e5b4-4803-b67c-08e47f206bd0</vt:lpwstr>
  </property>
  <property fmtid="{D5CDD505-2E9C-101B-9397-08002B2CF9AE}" pid="8" name="MSIP_Label_611ac0a8-6b99-444d-a60f-7336bfe397d8_ContentBits">
    <vt:lpwstr>0</vt:lpwstr>
  </property>
  <property fmtid="{D5CDD505-2E9C-101B-9397-08002B2CF9AE}" pid="9" name="ContentTypeId">
    <vt:lpwstr>0x01010055EF5135FDFA624AAC3CA4D1AB55F4C8</vt:lpwstr>
  </property>
  <property fmtid="{D5CDD505-2E9C-101B-9397-08002B2CF9AE}" pid="10" name="MediaServiceImageTags">
    <vt:lpwstr/>
  </property>
</Properties>
</file>